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3.xml" ContentType="application/vnd.openxmlformats-officedocument.drawing+xml"/>
  <Override PartName="/xl/comments1.xml" ContentType="application/vnd.openxmlformats-officedocument.spreadsheetml.comment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4.xml" ContentType="application/vnd.openxmlformats-officedocument.drawing+xml"/>
  <Override PartName="/xl/comments2.xml" ContentType="application/vnd.openxmlformats-officedocument.spreadsheetml.comments+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5.xml" ContentType="application/vnd.openxmlformats-officedocument.drawing+xml"/>
  <Override PartName="/xl/comments3.xml" ContentType="application/vnd.openxmlformats-officedocument.spreadsheetml.comment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6.xml" ContentType="application/vnd.openxmlformats-officedocument.drawing+xml"/>
  <Override PartName="/xl/comments4.xml" ContentType="application/vnd.openxmlformats-officedocument.spreadsheetml.comments+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7.xml" ContentType="application/vnd.openxmlformats-officedocument.drawing+xml"/>
  <Override PartName="/xl/comments5.xml" ContentType="application/vnd.openxmlformats-officedocument.spreadsheetml.comment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8.xml" ContentType="application/vnd.openxmlformats-officedocument.drawing+xml"/>
  <Override PartName="/xl/comments6.xml" ContentType="application/vnd.openxmlformats-officedocument.spreadsheetml.comments+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Users/alexandrazettervall/Documents/"/>
    </mc:Choice>
  </mc:AlternateContent>
  <xr:revisionPtr revIDLastSave="0" documentId="13_ncr:1_{63B525A2-53B2-BF4D-B70B-360C28C077F5}" xr6:coauthVersionLast="46" xr6:coauthVersionMax="46" xr10:uidLastSave="{00000000-0000-0000-0000-000000000000}"/>
  <bookViews>
    <workbookView xWindow="0" yWindow="500" windowWidth="38400" windowHeight="21100" activeTab="4" xr2:uid="{DD122366-AFAC-DA41-83D6-6E88F9E1FD38}"/>
  </bookViews>
  <sheets>
    <sheet name="Instruktioner" sheetId="1" r:id="rId1"/>
    <sheet name="Sammanställning" sheetId="2" r:id="rId2"/>
    <sheet name="Diagram - period" sheetId="21" r:id="rId3"/>
    <sheet name="Diagram - år" sheetId="7" r:id="rId4"/>
    <sheet name="2021.Q4" sheetId="26" r:id="rId5"/>
    <sheet name="2021.Q3" sheetId="25" r:id="rId6"/>
    <sheet name="2021.Q2" sheetId="24" r:id="rId7"/>
    <sheet name="2021.Q1" sheetId="23" r:id="rId8"/>
    <sheet name="2020.Q4" sheetId="27" r:id="rId9"/>
    <sheet name="MALL" sheetId="22" r:id="rId10"/>
  </sheets>
  <calcPr calcId="191029"/>
  <fileRecoveryPr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48" i="27" l="1"/>
  <c r="C29" i="27"/>
  <c r="C28" i="27"/>
  <c r="C27" i="27"/>
  <c r="C26" i="27"/>
  <c r="C23" i="27"/>
  <c r="C22" i="27"/>
  <c r="C21" i="27"/>
  <c r="F18" i="27"/>
  <c r="C18" i="27"/>
  <c r="F17" i="27"/>
  <c r="F16" i="27"/>
  <c r="F15" i="27"/>
  <c r="C15" i="27"/>
  <c r="K55" i="27" s="1"/>
  <c r="F14" i="27"/>
  <c r="C14" i="27"/>
  <c r="C13" i="27"/>
  <c r="F11" i="27"/>
  <c r="F10" i="27"/>
  <c r="C10" i="27"/>
  <c r="F9" i="27"/>
  <c r="C9" i="27"/>
  <c r="F8" i="27"/>
  <c r="C8" i="27"/>
  <c r="F7" i="27"/>
  <c r="C7" i="27"/>
  <c r="J48" i="26"/>
  <c r="C28" i="26" s="1"/>
  <c r="C29" i="26"/>
  <c r="F18" i="26"/>
  <c r="C18" i="26"/>
  <c r="F15" i="26"/>
  <c r="C15" i="26"/>
  <c r="C13" i="26"/>
  <c r="F11" i="26"/>
  <c r="F9" i="26"/>
  <c r="C9" i="26"/>
  <c r="F7" i="26"/>
  <c r="C7" i="26"/>
  <c r="J48" i="25"/>
  <c r="C29" i="25"/>
  <c r="C28" i="25"/>
  <c r="C27" i="25"/>
  <c r="C26" i="25"/>
  <c r="C23" i="25"/>
  <c r="C22" i="25"/>
  <c r="C21" i="25"/>
  <c r="F18" i="25"/>
  <c r="C18" i="25"/>
  <c r="F17" i="25"/>
  <c r="F16" i="25"/>
  <c r="F15" i="25"/>
  <c r="C15" i="25"/>
  <c r="F14" i="25"/>
  <c r="C47" i="25" s="1"/>
  <c r="C14" i="25"/>
  <c r="C13" i="25"/>
  <c r="K63" i="25" s="1"/>
  <c r="F11" i="25"/>
  <c r="F10" i="25"/>
  <c r="C10" i="25"/>
  <c r="F9" i="25"/>
  <c r="C9" i="25"/>
  <c r="F8" i="25"/>
  <c r="C8" i="25"/>
  <c r="F7" i="25"/>
  <c r="C7" i="25"/>
  <c r="K57" i="25" s="1"/>
  <c r="J48" i="24"/>
  <c r="C29" i="24"/>
  <c r="C28" i="24"/>
  <c r="C27" i="24"/>
  <c r="C26" i="24"/>
  <c r="C23" i="24"/>
  <c r="C22" i="24"/>
  <c r="C21" i="24"/>
  <c r="F18" i="24"/>
  <c r="C18" i="24"/>
  <c r="F17" i="24"/>
  <c r="F16" i="24"/>
  <c r="F15" i="24"/>
  <c r="C15" i="24"/>
  <c r="K55" i="24" s="1"/>
  <c r="F14" i="24"/>
  <c r="C14" i="24"/>
  <c r="C13" i="24"/>
  <c r="F11" i="24"/>
  <c r="F10" i="24"/>
  <c r="C10" i="24"/>
  <c r="F9" i="24"/>
  <c r="C9" i="24"/>
  <c r="F8" i="24"/>
  <c r="C8" i="24"/>
  <c r="F7" i="24"/>
  <c r="C7" i="24"/>
  <c r="F48" i="22"/>
  <c r="C48" i="22"/>
  <c r="J48" i="23"/>
  <c r="C29" i="23"/>
  <c r="C28" i="23"/>
  <c r="C27" i="23"/>
  <c r="C26" i="23"/>
  <c r="C23" i="23"/>
  <c r="C22" i="23"/>
  <c r="C21" i="23"/>
  <c r="F18" i="23"/>
  <c r="C18" i="23"/>
  <c r="F17" i="23"/>
  <c r="F16" i="23"/>
  <c r="F15" i="23"/>
  <c r="C15" i="23"/>
  <c r="K55" i="23" s="1"/>
  <c r="F14" i="23"/>
  <c r="C14" i="23"/>
  <c r="C13" i="23"/>
  <c r="F11" i="23"/>
  <c r="F10" i="23"/>
  <c r="C10" i="23"/>
  <c r="F9" i="23"/>
  <c r="C9" i="23"/>
  <c r="F8" i="23"/>
  <c r="C8" i="23"/>
  <c r="F7" i="23"/>
  <c r="C7" i="23"/>
  <c r="C48" i="23" l="1"/>
  <c r="C23" i="26"/>
  <c r="C26" i="26"/>
  <c r="C10" i="26"/>
  <c r="C14" i="26"/>
  <c r="K53" i="26" s="1"/>
  <c r="F16" i="26"/>
  <c r="C21" i="26"/>
  <c r="C27" i="26"/>
  <c r="C8" i="26"/>
  <c r="C48" i="26" s="1"/>
  <c r="F8" i="26"/>
  <c r="F10" i="26"/>
  <c r="F14" i="26"/>
  <c r="F17" i="26"/>
  <c r="C22" i="26"/>
  <c r="K58" i="27"/>
  <c r="C47" i="27"/>
  <c r="K57" i="27"/>
  <c r="K54" i="27"/>
  <c r="K53" i="27"/>
  <c r="F20" i="27"/>
  <c r="K61" i="27" s="1"/>
  <c r="K63" i="27"/>
  <c r="C31" i="27"/>
  <c r="C48" i="27"/>
  <c r="F45" i="27"/>
  <c r="K52" i="27"/>
  <c r="F20" i="25"/>
  <c r="K55" i="25"/>
  <c r="K54" i="25"/>
  <c r="K58" i="25"/>
  <c r="K53" i="25"/>
  <c r="K54" i="24"/>
  <c r="K58" i="24"/>
  <c r="C47" i="24"/>
  <c r="K57" i="24"/>
  <c r="F20" i="24"/>
  <c r="K63" i="24"/>
  <c r="K61" i="25"/>
  <c r="C31" i="25"/>
  <c r="C48" i="25"/>
  <c r="F45" i="25"/>
  <c r="K52" i="25"/>
  <c r="K61" i="24"/>
  <c r="C31" i="24"/>
  <c r="C46" i="24" s="1"/>
  <c r="C48" i="24"/>
  <c r="K53" i="24"/>
  <c r="F45" i="24"/>
  <c r="K52" i="24"/>
  <c r="K58" i="23"/>
  <c r="K54" i="23"/>
  <c r="C47" i="23"/>
  <c r="K57" i="23"/>
  <c r="F20" i="23"/>
  <c r="K61" i="23" s="1"/>
  <c r="K63" i="23"/>
  <c r="C31" i="23"/>
  <c r="K53" i="23"/>
  <c r="F45" i="23"/>
  <c r="F48" i="23" s="1"/>
  <c r="K52" i="23"/>
  <c r="K55" i="26" l="1"/>
  <c r="K52" i="26"/>
  <c r="F45" i="26"/>
  <c r="F46" i="26" s="1"/>
  <c r="K63" i="26"/>
  <c r="F20" i="26"/>
  <c r="K61" i="26" s="1"/>
  <c r="C47" i="26"/>
  <c r="K57" i="26"/>
  <c r="K54" i="26"/>
  <c r="K58" i="26"/>
  <c r="C31" i="26"/>
  <c r="F25" i="27"/>
  <c r="K60" i="27"/>
  <c r="C46" i="27"/>
  <c r="F47" i="27"/>
  <c r="F48" i="27"/>
  <c r="F46" i="27"/>
  <c r="C46" i="25"/>
  <c r="K60" i="26"/>
  <c r="F47" i="26"/>
  <c r="F48" i="26"/>
  <c r="F25" i="25"/>
  <c r="K60" i="25"/>
  <c r="F47" i="25"/>
  <c r="F48" i="25"/>
  <c r="F46" i="25"/>
  <c r="F25" i="24"/>
  <c r="K60" i="24"/>
  <c r="F47" i="24"/>
  <c r="F48" i="24"/>
  <c r="F46" i="24"/>
  <c r="F25" i="23"/>
  <c r="K60" i="23"/>
  <c r="F47" i="23"/>
  <c r="F46" i="23"/>
  <c r="C46" i="23"/>
  <c r="F25" i="26" l="1"/>
  <c r="C46" i="26"/>
  <c r="F31" i="27"/>
  <c r="C45" i="27" s="1"/>
  <c r="F31" i="26"/>
  <c r="C45" i="26" s="1"/>
  <c r="F31" i="25"/>
  <c r="C45" i="25" s="1"/>
  <c r="F31" i="24"/>
  <c r="C45" i="24" s="1"/>
  <c r="F31" i="23"/>
  <c r="C45" i="23" s="1"/>
  <c r="J48" i="22" l="1"/>
  <c r="C29" i="22"/>
  <c r="C28" i="22"/>
  <c r="C27" i="22"/>
  <c r="C26" i="22"/>
  <c r="C23" i="22"/>
  <c r="C22" i="22"/>
  <c r="C21" i="22"/>
  <c r="F18" i="22"/>
  <c r="C18" i="22"/>
  <c r="F17" i="22"/>
  <c r="F16" i="22"/>
  <c r="F15" i="22"/>
  <c r="C15" i="22"/>
  <c r="K55" i="22" s="1"/>
  <c r="F14" i="22"/>
  <c r="C47" i="22" s="1"/>
  <c r="C14" i="22"/>
  <c r="C13" i="22"/>
  <c r="F11" i="22"/>
  <c r="F10" i="22"/>
  <c r="K58" i="22" s="1"/>
  <c r="C10" i="22"/>
  <c r="F9" i="22"/>
  <c r="C9" i="22"/>
  <c r="F8" i="22"/>
  <c r="C8" i="22"/>
  <c r="F7" i="22"/>
  <c r="C7" i="22"/>
  <c r="K57" i="22" s="1"/>
  <c r="K63" i="22" l="1"/>
  <c r="K53" i="22"/>
  <c r="F20" i="22"/>
  <c r="K61" i="22" s="1"/>
  <c r="K54" i="22"/>
  <c r="C31" i="22"/>
  <c r="F45" i="22"/>
  <c r="K52" i="22"/>
  <c r="F25" i="22" l="1"/>
  <c r="K60" i="22"/>
  <c r="C46" i="22"/>
  <c r="F47" i="22"/>
  <c r="F46" i="22"/>
  <c r="F31" i="22" l="1"/>
  <c r="C45" i="22" s="1"/>
  <c r="I20" i="2"/>
  <c r="I30" i="2"/>
  <c r="B16" i="2"/>
  <c r="B17" i="2"/>
  <c r="B28" i="2"/>
  <c r="I21" i="2"/>
  <c r="B21" i="2"/>
  <c r="I32" i="2"/>
  <c r="B24" i="2"/>
  <c r="I27" i="2"/>
  <c r="B32" i="2"/>
  <c r="B15" i="2"/>
  <c r="I29" i="2"/>
  <c r="B33" i="2"/>
  <c r="I18" i="2"/>
  <c r="I33" i="2"/>
  <c r="I16" i="2"/>
  <c r="B29" i="2"/>
  <c r="B22" i="2"/>
  <c r="I26" i="2"/>
  <c r="B31" i="2"/>
  <c r="I23" i="2"/>
  <c r="I22" i="2"/>
  <c r="I25" i="2"/>
  <c r="I15" i="2"/>
  <c r="I28" i="2"/>
  <c r="B23" i="2"/>
  <c r="I24" i="2"/>
  <c r="B26" i="2"/>
  <c r="B30" i="2"/>
  <c r="B19" i="2"/>
  <c r="I17" i="2"/>
  <c r="B25" i="2"/>
  <c r="B18" i="2"/>
  <c r="I19" i="2"/>
  <c r="B20" i="2"/>
  <c r="B27" i="2"/>
  <c r="I31" i="2"/>
  <c r="B7" i="2" l="1"/>
  <c r="B6" i="2"/>
  <c r="B5" i="2"/>
  <c r="B4" i="2"/>
  <c r="B3" i="2"/>
  <c r="C4" i="2" l="1"/>
  <c r="C6" i="2"/>
  <c r="C5" i="2"/>
  <c r="C7" i="2"/>
  <c r="D28" i="2"/>
  <c r="G31" i="2"/>
  <c r="H22" i="2"/>
  <c r="K16" i="2"/>
  <c r="G17" i="2"/>
  <c r="G23" i="2"/>
  <c r="G18" i="2"/>
  <c r="F30" i="2"/>
  <c r="D31" i="2"/>
  <c r="F19" i="2"/>
  <c r="K21" i="2"/>
  <c r="K14" i="2"/>
  <c r="D18" i="2"/>
  <c r="G25" i="2"/>
  <c r="F22" i="2"/>
  <c r="D17" i="2"/>
  <c r="G32" i="2"/>
  <c r="D19" i="2"/>
  <c r="K17" i="2"/>
  <c r="K22" i="2"/>
  <c r="G33" i="2"/>
  <c r="G20" i="2"/>
  <c r="H21" i="2"/>
  <c r="D29" i="2"/>
  <c r="F17" i="2"/>
  <c r="H25" i="2"/>
  <c r="F16" i="2"/>
  <c r="H18" i="2"/>
  <c r="K33" i="2"/>
  <c r="D21" i="2"/>
  <c r="D25" i="2"/>
  <c r="H17" i="2"/>
  <c r="F28" i="2"/>
  <c r="K24" i="2"/>
  <c r="D24" i="2"/>
  <c r="K29" i="2"/>
  <c r="F23" i="2"/>
  <c r="K20" i="2"/>
  <c r="H29" i="2"/>
  <c r="G24" i="2"/>
  <c r="G22" i="2"/>
  <c r="G30" i="2"/>
  <c r="D20" i="2"/>
  <c r="D16" i="2"/>
  <c r="F25" i="2"/>
  <c r="H19" i="2"/>
  <c r="H23" i="2"/>
  <c r="G26" i="2"/>
  <c r="F29" i="2"/>
  <c r="K15" i="2"/>
  <c r="H27" i="2"/>
  <c r="F21" i="2"/>
  <c r="G27" i="2"/>
  <c r="G28" i="2"/>
  <c r="G16" i="2"/>
  <c r="G21" i="2"/>
  <c r="F33" i="2"/>
  <c r="K26" i="2"/>
  <c r="K30" i="2"/>
  <c r="H16" i="2"/>
  <c r="H33" i="2"/>
  <c r="K32" i="2"/>
  <c r="D26" i="2"/>
  <c r="H31" i="2"/>
  <c r="H26" i="2"/>
  <c r="F27" i="2"/>
  <c r="D32" i="2"/>
  <c r="K13" i="2"/>
  <c r="K25" i="2"/>
  <c r="H30" i="2"/>
  <c r="H13" i="2"/>
  <c r="F26" i="2"/>
  <c r="F3" i="2" l="1"/>
  <c r="G3" i="2"/>
  <c r="I6" i="2"/>
  <c r="D5" i="2"/>
  <c r="H2" i="2"/>
  <c r="D4" i="2"/>
  <c r="G7" i="2"/>
  <c r="D3" i="2"/>
  <c r="I3" i="2"/>
  <c r="K7" i="2"/>
  <c r="F7" i="2"/>
  <c r="F5" i="2"/>
  <c r="D6" i="2"/>
  <c r="F4" i="2"/>
  <c r="K6" i="2"/>
  <c r="G4" i="2"/>
  <c r="K5" i="2"/>
  <c r="K3" i="2"/>
  <c r="F6" i="2"/>
  <c r="H7" i="2"/>
  <c r="H3" i="2"/>
  <c r="K2" i="2"/>
  <c r="G5" i="2"/>
  <c r="H6" i="2"/>
  <c r="K4" i="2"/>
  <c r="H5" i="2"/>
  <c r="H4" i="2"/>
  <c r="I7" i="2"/>
  <c r="L17" i="2"/>
  <c r="L16" i="2"/>
  <c r="J17" i="2"/>
  <c r="J16" i="2"/>
  <c r="E17" i="2"/>
  <c r="C16" i="2"/>
  <c r="C17" i="2"/>
  <c r="F31" i="2"/>
  <c r="F32" i="2"/>
  <c r="D15" i="2"/>
  <c r="K18" i="2"/>
  <c r="K23" i="2"/>
  <c r="H28" i="2"/>
  <c r="I14" i="2"/>
  <c r="D30" i="2"/>
  <c r="G15" i="2"/>
  <c r="F20" i="2"/>
  <c r="K31" i="2"/>
  <c r="G29" i="2"/>
  <c r="D33" i="2"/>
  <c r="H24" i="2"/>
  <c r="D14" i="2"/>
  <c r="F18" i="2"/>
  <c r="I13" i="2"/>
  <c r="H20" i="2"/>
  <c r="G19" i="2"/>
  <c r="H32" i="2"/>
  <c r="F24" i="2"/>
  <c r="K27" i="2"/>
  <c r="F14" i="2"/>
  <c r="F15" i="2"/>
  <c r="H15" i="2"/>
  <c r="H14" i="2"/>
  <c r="D22" i="2"/>
  <c r="K19" i="2"/>
  <c r="D27" i="2"/>
  <c r="D23" i="2"/>
  <c r="K28" i="2"/>
  <c r="J7" i="2" l="1"/>
  <c r="L5" i="2"/>
  <c r="E6" i="2"/>
  <c r="L7" i="2"/>
  <c r="L4" i="2"/>
  <c r="L6" i="2"/>
  <c r="L2" i="2"/>
  <c r="L3" i="2"/>
  <c r="E5" i="2"/>
  <c r="E4" i="2"/>
  <c r="G6" i="2"/>
  <c r="I4" i="2"/>
  <c r="J4" i="2" s="1"/>
  <c r="I5" i="2"/>
  <c r="J6" i="2" s="1"/>
  <c r="D7" i="2"/>
  <c r="E7" i="2" s="1"/>
  <c r="I2" i="2"/>
  <c r="J2" i="2" s="1"/>
  <c r="J13" i="2"/>
  <c r="J14" i="2"/>
  <c r="L13" i="2"/>
  <c r="E16" i="2"/>
  <c r="D13" i="2"/>
  <c r="J5" i="2" l="1"/>
  <c r="J3" i="2"/>
  <c r="D2" i="2"/>
  <c r="E13" i="2"/>
  <c r="L15" i="2"/>
  <c r="L14" i="2"/>
  <c r="J15" i="2"/>
  <c r="E15" i="2"/>
  <c r="E14" i="2"/>
  <c r="G13" i="2"/>
  <c r="B13" i="2"/>
  <c r="B14" i="2"/>
  <c r="G14" i="2"/>
  <c r="E2" i="2" l="1"/>
  <c r="E3" i="2"/>
  <c r="B2" i="2"/>
  <c r="C13" i="2"/>
  <c r="G2" i="2"/>
  <c r="C14" i="2"/>
  <c r="C15" i="2"/>
  <c r="F13" i="2"/>
  <c r="C2" i="2" l="1"/>
  <c r="C3" i="2"/>
  <c r="F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05E87FDF-4D17-2445-9E0B-19536DEDE45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7A9922F3-ED3F-704F-A5D0-A28E0CBBDD0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AB5D3013-C675-C248-B9A6-A9D0288EC929}">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B1AC8B5F-0249-AC4B-8B32-E8F667C90CCA}">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6DD78650-782C-9247-893E-72779F9F13BC}">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3DC9B638-7166-9A4C-A7B7-ACCEE90731D3}">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E8EF47D2-F949-1F41-B346-92B7C0B06B8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B2FD0854-6DB1-DF46-84E6-8E73BC1A8BB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F83D9BC4-EB9A-0346-B4D9-2EAE801A2DA1}">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2A2E1710-8B1F-A94C-A48F-AB6990DFD0A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0BFAD77D-1D46-0B4A-A9E0-C2F05373791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21BC8E17-C6F3-1348-B64D-9A2FC18AA0F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763E4D10-144B-3E44-BF91-CEAAC7779EE1}">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F17F8CCA-7A3F-AC4D-8F1E-F171CBE57869}">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23F128BA-1D08-0643-8222-88EDFECD862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ECBB57D0-CC90-0B43-BAD9-F0FA5767F313}">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F7B49C3C-D4E3-B242-9C27-1C1DFAC77F4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4F283B5A-B9EF-7846-9EDE-5BF1F3FBE5F3}">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FC312590-4785-AA41-B8F2-34D82834D742}">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3A22F8E6-C343-9441-8AAB-E5C5326DF5C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3AD2E945-2150-7345-925D-C850AA506E7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A2107ED4-D251-AA47-9242-14DA2DE75A9D}">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368F9D9E-E0D5-D54B-8E8A-1646D68B9AD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282EC4E6-5EF1-5B47-A88E-7086A297B4C3}">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A41DE0B4-CA05-5844-9244-FB100C87FC4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8359976C-CA89-1D45-8905-58557550DE1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3C3EF26A-67B5-7E40-A0A8-FCD0E3E1B55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9AB1680A-EB43-CB48-A257-4DEC31475993}">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A9903EF7-48D7-2F4D-A59B-FFD8AD023ACD}">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08D40195-C771-2F4C-81F0-6DA98982CAA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31235616-266D-9147-BD22-96F19E98CA6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46CE5004-3A98-514B-BAF3-79872E592E5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13D087C5-4EC2-4249-8DD3-4393CE25CBE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68590752-CAF6-2A47-9578-34F51707543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054F02EE-2337-1249-B2C1-BF8356E30A8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1E733BAF-55DA-DF4B-9DB6-E2D271CC3C5B}">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E11DDC77-3735-4846-9473-2E12FF477061}">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879E4FEA-B353-1847-8219-627681F0266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70991539-EEFD-A44D-A6E5-F6E7792ACE5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9A03D90C-5DE7-4F45-80AB-0D31A2CE923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269C2265-0D67-D04E-92AD-C32F691D02AB}">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F4174F9D-F0BB-EF4B-A6DB-0A7A8407F66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1FF5E9AD-752F-F945-A08E-B3E9AAF7EAF4}">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A67CA64C-5E6A-A84F-A35D-191D77F31CC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C8BCF626-F728-DA42-A097-74D233592FCC}">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J2" authorId="0" shapeId="0" xr:uid="{7174D091-D734-E942-9A1A-F08767DF7678}">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OBS! Namnen i denna kolumnen används för automatisk summering i balansräkningen</t>
        </r>
      </text>
    </comment>
    <comment ref="K15" authorId="0" shapeId="0" xr:uid="{BA939915-D23E-2F4D-8F0D-70B9FF5910C7}">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Räkna vikt x spotpris
</t>
        </r>
      </text>
    </comment>
    <comment ref="K16" authorId="0" shapeId="0" xr:uid="{C14ECF0B-561B-2748-96CA-11325E4D09A6}">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Räkna vikt x spotpris</t>
        </r>
      </text>
    </comment>
    <comment ref="K18" authorId="0" shapeId="0" xr:uid="{7DACECA3-A503-8645-980B-07B91DFB2060}">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T.ex. till privatperson eller ditt företag</t>
        </r>
      </text>
    </comment>
    <comment ref="K20" authorId="0" shapeId="0" xr:uid="{7BBB0346-BCA3-1547-9A84-78E013FABC48}">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inköpsvärde eller om mäklare gjort en värdering.</t>
        </r>
      </text>
    </comment>
    <comment ref="K24" authorId="0" shapeId="0" xr:uid="{31F88CA9-A4C2-0D4F-A7CE-3E2FB593F5AD}">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Värdera t.ex. genom fritt eget kapital</t>
        </r>
      </text>
    </comment>
    <comment ref="K26" authorId="0" shapeId="0" xr:uid="{BBC0CB57-FBF2-7F4E-9D3B-2DE42616952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K27" authorId="0" shapeId="0" xr:uid="{C9A82886-6BC4-8643-B278-7A514DBC087E}">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Ev räkna ner beloppet med skatt (30% ?) pga obeskattade pengar</t>
        </r>
      </text>
    </comment>
    <comment ref="E48" authorId="0" shapeId="0" xr:uid="{B2E6AFC6-C72F-134F-BFC2-80F1867F5BF5}">
      <text>
        <r>
          <rPr>
            <b/>
            <sz val="10"/>
            <color rgb="FF000000"/>
            <rFont val="Tahoma"/>
            <family val="2"/>
          </rPr>
          <t>Microsoft Office User:</t>
        </r>
        <r>
          <rPr>
            <sz val="10"/>
            <color rgb="FF000000"/>
            <rFont val="Tahoma"/>
            <family val="2"/>
          </rPr>
          <t xml:space="preserve">
</t>
        </r>
        <r>
          <rPr>
            <sz val="10"/>
            <color rgb="FF000000"/>
            <rFont val="Tahoma"/>
            <family val="2"/>
          </rPr>
          <t xml:space="preserve">
</t>
        </r>
        <r>
          <rPr>
            <sz val="10"/>
            <color rgb="FF000000"/>
            <rFont val="Tahoma"/>
            <family val="2"/>
          </rPr>
          <t xml:space="preserve">12,5 x FlamingoFI
</t>
        </r>
        <r>
          <rPr>
            <sz val="10"/>
            <color rgb="FF000000"/>
            <rFont val="Tahoma"/>
            <family val="2"/>
          </rPr>
          <t xml:space="preserve">22 x    Lean-FI
</t>
        </r>
        <r>
          <rPr>
            <sz val="10"/>
            <color rgb="FF000000"/>
            <rFont val="Tahoma"/>
            <family val="2"/>
          </rPr>
          <t xml:space="preserve">25 x    FIRE
</t>
        </r>
        <r>
          <rPr>
            <sz val="10"/>
            <color rgb="FF000000"/>
            <rFont val="Tahoma"/>
            <family val="2"/>
          </rPr>
          <t>35 x    Fat-FI</t>
        </r>
      </text>
    </comment>
  </commentList>
</comments>
</file>

<file path=xl/sharedStrings.xml><?xml version="1.0" encoding="utf-8"?>
<sst xmlns="http://schemas.openxmlformats.org/spreadsheetml/2006/main" count="849" uniqueCount="171">
  <si>
    <t>Period</t>
  </si>
  <si>
    <t>Eget kapital</t>
  </si>
  <si>
    <t>Fonder &amp; aktier</t>
  </si>
  <si>
    <t>Tjänstepension</t>
  </si>
  <si>
    <t>Pengamaskin</t>
  </si>
  <si>
    <t>Tillgångar - konto/typ</t>
  </si>
  <si>
    <t>Typ</t>
  </si>
  <si>
    <t>Belopp</t>
  </si>
  <si>
    <t>Kommentar</t>
  </si>
  <si>
    <t>Kontanter</t>
  </si>
  <si>
    <t>kortkonto</t>
  </si>
  <si>
    <t>Tillgångar</t>
  </si>
  <si>
    <t>Skulder &amp; Eget kapital</t>
  </si>
  <si>
    <t>övrigt konto</t>
  </si>
  <si>
    <t xml:space="preserve">   Likvida medel</t>
  </si>
  <si>
    <t xml:space="preserve">   Kortfristiga lån</t>
  </si>
  <si>
    <t xml:space="preserve">     Kontanter</t>
  </si>
  <si>
    <t xml:space="preserve">     Kreditkort</t>
  </si>
  <si>
    <t>sparkonto</t>
  </si>
  <si>
    <t xml:space="preserve">     Kortkonton</t>
  </si>
  <si>
    <t xml:space="preserve">     Avbetalning</t>
  </si>
  <si>
    <t xml:space="preserve">     Sparkonton</t>
  </si>
  <si>
    <t xml:space="preserve">     Blancolån</t>
  </si>
  <si>
    <t xml:space="preserve">     Övriga konton</t>
  </si>
  <si>
    <t xml:space="preserve">     Billån</t>
  </si>
  <si>
    <t>Avanza</t>
  </si>
  <si>
    <t>fonder</t>
  </si>
  <si>
    <t xml:space="preserve">     Övriga korta lån</t>
  </si>
  <si>
    <t>aktier</t>
  </si>
  <si>
    <t xml:space="preserve">   Korta placeringar</t>
  </si>
  <si>
    <t>Nordnet</t>
  </si>
  <si>
    <t xml:space="preserve">     Fonder</t>
  </si>
  <si>
    <t xml:space="preserve">   Långfristiga lån</t>
  </si>
  <si>
    <t xml:space="preserve">     Aktier (börsnoterade)</t>
  </si>
  <si>
    <t>Lysa</t>
  </si>
  <si>
    <t xml:space="preserve">     Råvaror</t>
  </si>
  <si>
    <t>Savr</t>
  </si>
  <si>
    <t xml:space="preserve">     Lån Hyresfastighet</t>
  </si>
  <si>
    <t xml:space="preserve">   Fordringar</t>
  </si>
  <si>
    <t xml:space="preserve">     Studielån</t>
  </si>
  <si>
    <t>Guld</t>
  </si>
  <si>
    <t>råvaror</t>
  </si>
  <si>
    <t xml:space="preserve">     Utlånat</t>
  </si>
  <si>
    <t xml:space="preserve">     Övriga långa lån</t>
  </si>
  <si>
    <t>Silver</t>
  </si>
  <si>
    <t xml:space="preserve">   Anläggningstillgångar</t>
  </si>
  <si>
    <t xml:space="preserve">   Summa skulder</t>
  </si>
  <si>
    <t>Lån till XYZ</t>
  </si>
  <si>
    <t>utlånat</t>
  </si>
  <si>
    <t xml:space="preserve">     Bostad</t>
  </si>
  <si>
    <t xml:space="preserve">     Fritidshus</t>
  </si>
  <si>
    <t>Bostadsrätt / villa</t>
  </si>
  <si>
    <t>bostad</t>
  </si>
  <si>
    <t xml:space="preserve">     Övrigt, t.ex. bil, båt</t>
  </si>
  <si>
    <t xml:space="preserve">   Summa Eget kapital</t>
  </si>
  <si>
    <t xml:space="preserve">   Långsiktiga placeringar</t>
  </si>
  <si>
    <t xml:space="preserve">     Företag, t.ex. fritt eget kapital</t>
  </si>
  <si>
    <t>Företag</t>
  </si>
  <si>
    <t>företag</t>
  </si>
  <si>
    <t xml:space="preserve">     Hyresfastighet</t>
  </si>
  <si>
    <t>Hyresfastighet odyl</t>
  </si>
  <si>
    <t>fastighet</t>
  </si>
  <si>
    <t xml:space="preserve">     Tjänstepension</t>
  </si>
  <si>
    <t>tjänstepension</t>
  </si>
  <si>
    <t>Collectum</t>
  </si>
  <si>
    <t xml:space="preserve">   Summa tillgångar</t>
  </si>
  <si>
    <t xml:space="preserve">   Summa Eget kapital och skulder</t>
  </si>
  <si>
    <t>Skulder - konto/typ</t>
  </si>
  <si>
    <t>kreditkort</t>
  </si>
  <si>
    <t>avbetalning</t>
  </si>
  <si>
    <t>blancolån</t>
  </si>
  <si>
    <t>billån</t>
  </si>
  <si>
    <t>korta lån</t>
  </si>
  <si>
    <t>Bostadslån</t>
  </si>
  <si>
    <t>bolån</t>
  </si>
  <si>
    <t>bolån fritid</t>
  </si>
  <si>
    <t>bolån hyres</t>
  </si>
  <si>
    <t>studielån</t>
  </si>
  <si>
    <t>långa lån</t>
  </si>
  <si>
    <t>Ekonomisk trygghet</t>
  </si>
  <si>
    <t>Ekonomisk frihet</t>
  </si>
  <si>
    <t>FIRE-förutsättningar</t>
  </si>
  <si>
    <t>Soliditet</t>
  </si>
  <si>
    <t>Summa pengamaskin</t>
  </si>
  <si>
    <t>Månadsutgift/inkomst</t>
  </si>
  <si>
    <t>Belåningsgrad total</t>
  </si>
  <si>
    <t>Safe-withdrawal-rate</t>
  </si>
  <si>
    <t>man brukar räkna på 3-5%</t>
  </si>
  <si>
    <t>Belåningsgrad fastigheter</t>
  </si>
  <si>
    <t>Ekonomiskt fri</t>
  </si>
  <si>
    <t>Andra passiva inkomster/mån</t>
  </si>
  <si>
    <t>T.ex. hyresintäkter (ej aktier odyl)</t>
  </si>
  <si>
    <t>Månader av trygghet</t>
  </si>
  <si>
    <t>FIRE-nivå</t>
  </si>
  <si>
    <t>Storlek pengamaskin</t>
  </si>
  <si>
    <t>Tillgångsfördelning</t>
  </si>
  <si>
    <t>Likvida medel</t>
  </si>
  <si>
    <t>Fonder och aktier</t>
  </si>
  <si>
    <t>Fastigheter</t>
  </si>
  <si>
    <t>Övrigt</t>
  </si>
  <si>
    <t>Fria tillgångar</t>
  </si>
  <si>
    <t>Bundna tillgångar</t>
  </si>
  <si>
    <t>Skulder</t>
  </si>
  <si>
    <t>Ekonomiskt fri %</t>
  </si>
  <si>
    <t>Trygghetsmånader</t>
  </si>
  <si>
    <t>2021.Q1</t>
  </si>
  <si>
    <t>2021.Q2</t>
  </si>
  <si>
    <t>2021.Q3</t>
  </si>
  <si>
    <t>2021.Q4</t>
  </si>
  <si>
    <t>2020.Q4</t>
  </si>
  <si>
    <t>Fonder &amp; aktier, exkl tjänstepension</t>
  </si>
  <si>
    <t xml:space="preserve">     Onoterade aktier och övrigt</t>
  </si>
  <si>
    <t>övrigt långsiktigt</t>
  </si>
  <si>
    <t>Onoterade aktier odyl</t>
  </si>
  <si>
    <t>2022.Q1</t>
  </si>
  <si>
    <t>2022.Q2</t>
  </si>
  <si>
    <t>2022.Q3</t>
  </si>
  <si>
    <t>2022.Q4</t>
  </si>
  <si>
    <t>2023.Q1</t>
  </si>
  <si>
    <t>2023.Q2</t>
  </si>
  <si>
    <t>2023.Q3</t>
  </si>
  <si>
    <t>2023.Q4</t>
  </si>
  <si>
    <t>2024.Q1</t>
  </si>
  <si>
    <t>2024.Q2</t>
  </si>
  <si>
    <t>2024.Q3</t>
  </si>
  <si>
    <t>2024.Q4</t>
  </si>
  <si>
    <t>2025.Q1</t>
  </si>
  <si>
    <t>2025.Q2</t>
  </si>
  <si>
    <t>2025.Q3</t>
  </si>
  <si>
    <t>2025.Q4</t>
  </si>
  <si>
    <t>Ökning FG Q</t>
  </si>
  <si>
    <t>Instruktioner för privatekonomisk balansräkning</t>
  </si>
  <si>
    <t>1.</t>
  </si>
  <si>
    <t>Skapa en kopia av fliken som heter Mall (högerklicka, välj "Flytta eller kopiera", Kryssa i rutan "Skapa en kopia")</t>
  </si>
  <si>
    <t>2.</t>
  </si>
  <si>
    <t>3.</t>
  </si>
  <si>
    <t>Döp om den nya fliken till t.ex. 2021.Q1 om den gäller för kvartal 1 2021, eller bara 2021 om du gör balansräkning en gång per år. OBS att det får inte vara mellanrum i namnet, ej heller bindestreck odyl.</t>
  </si>
  <si>
    <t>4.</t>
  </si>
  <si>
    <t>Klart! Resterande delar ska fyllas i automatiskt</t>
  </si>
  <si>
    <t>ÅR</t>
  </si>
  <si>
    <t>Ökning FG År</t>
  </si>
  <si>
    <t>Ändra datum i rubriken på den nya fliken: "Balansräkning ÅÅÅÅ-MM-DD"</t>
  </si>
  <si>
    <t>5.</t>
  </si>
  <si>
    <t>Utveckling årsvis</t>
  </si>
  <si>
    <t>Om du använder ett annat system för att döpa flikarna måste du ändra på namnen i kolumn A på fliken Sammanställning, annars kommer inte beloppen hämtas dit och därmed inte till diagrammen.</t>
  </si>
  <si>
    <t>Balansräkningarna samt diagrammen är anpassade för utskrift med smala marginaler.</t>
  </si>
  <si>
    <t>Allt gott önskar Alexandra på Frihetsresan.com</t>
  </si>
  <si>
    <t>www.frihetsresan.com</t>
  </si>
  <si>
    <t>Fyll i de grå rutorna i kolumn K i fliken för balansräkningen med aktuellt värde på dina tillgångar och skulder. Ändra namnen i kolumn I efter behov. Tips! Ändra namnet i kolumn I och ta bort de rader du inte behöver och kopiera sedan denna nya fliken nästa gång du gör en ny balansräkning istället för att utå från mallen igen.</t>
  </si>
  <si>
    <t>Utveckling periodvis</t>
  </si>
  <si>
    <t>Balansräkning ÅÅÅÅ-MM-DD</t>
  </si>
  <si>
    <t>Bank NAMN</t>
  </si>
  <si>
    <t>Fritidshus</t>
  </si>
  <si>
    <t>fritidshus</t>
  </si>
  <si>
    <t>Bil / båt etc</t>
  </si>
  <si>
    <t>övrig anläggning</t>
  </si>
  <si>
    <t>FORA</t>
  </si>
  <si>
    <t>Balansräkning 2021-03-31</t>
  </si>
  <si>
    <t>Beräknad årsavkastning vid 4%</t>
  </si>
  <si>
    <t>Ändra och designa om mallen efter dina egna behov så mycket du vill, dela gärna med dig av resultatet och dina tankar, eller om du har feedback eller förbättringsförslag på balansräkningen!</t>
  </si>
  <si>
    <t>Diagrammen är skapade för t.o.m. 2022 kvartal 4 och 2025 som helår. Efter det får man förlänga datafälten genom att högerklicka på diagrammet och välja "Markera data" och ändra Y-axel och Vågräta/kategori-axel</t>
  </si>
  <si>
    <t xml:space="preserve"> </t>
  </si>
  <si>
    <t>Tips / information</t>
  </si>
  <si>
    <t>Håll muspekaren över de små röda hörnen på celler i kolumn K för att se tips eller få information om rutan.</t>
  </si>
  <si>
    <t>Balansräkning 2021-12-31</t>
  </si>
  <si>
    <t>Balansräkning 2021-09-30</t>
  </si>
  <si>
    <t>Balansräkning 2021-06-30</t>
  </si>
  <si>
    <t>Inga belopp från ny flik flyttas över till Sammanställningen? -&gt; Kontrollera att namnet på fliken stämmer med namnet i kolumn A i fliken Sammanställning</t>
  </si>
  <si>
    <t>Fliken för 2020.Q4 innehåller exempelsiffor - glöm inte rensa, fyll i egna eller ta bort fliken helt.</t>
  </si>
  <si>
    <t xml:space="preserve">     Bostadslån</t>
  </si>
  <si>
    <t xml:space="preserve">     Bostadslån fritidshus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</si>
</sst>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 _k_r_-;\-* #,##0\ _k_r_-;_-* &quot;-&quot;\ _k_r_-;_-@_-"/>
    <numFmt numFmtId="165" formatCode="#,##0&quot; kr&quot;;&quot;-&quot;#,##0&quot; kr&quot;"/>
    <numFmt numFmtId="166" formatCode="0.0%"/>
    <numFmt numFmtId="167" formatCode="_-* #,##0.00\ _k_r_-;\-* #,##0.00\ _k_r_-;_-* &quot;-&quot;\ _k_r_-;_-@_-"/>
  </numFmts>
  <fonts count="16" x14ac:knownFonts="1">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sz val="20"/>
      <color theme="1"/>
      <name val="Calibri"/>
      <family val="2"/>
      <scheme val="minor"/>
    </font>
    <font>
      <b/>
      <sz val="14"/>
      <color theme="1"/>
      <name val="Calibri"/>
      <family val="2"/>
      <scheme val="minor"/>
    </font>
    <font>
      <sz val="14"/>
      <color theme="1"/>
      <name val="Calibri"/>
      <family val="2"/>
      <scheme val="minor"/>
    </font>
    <font>
      <b/>
      <sz val="11"/>
      <color theme="1"/>
      <name val="Calibri"/>
      <family val="2"/>
      <scheme val="minor"/>
    </font>
    <font>
      <sz val="18"/>
      <color theme="1"/>
      <name val="Calibri"/>
      <family val="2"/>
      <scheme val="minor"/>
    </font>
    <font>
      <b/>
      <sz val="10"/>
      <color rgb="FF000000"/>
      <name val="Tahoma"/>
      <family val="2"/>
    </font>
    <font>
      <sz val="10"/>
      <color rgb="FF000000"/>
      <name val="Tahoma"/>
      <family val="2"/>
    </font>
    <font>
      <sz val="8"/>
      <name val="Calibri"/>
      <family val="2"/>
      <scheme val="minor"/>
    </font>
    <font>
      <sz val="12"/>
      <color theme="0" tint="-0.34998626667073579"/>
      <name val="Calibri"/>
      <family val="2"/>
      <scheme val="minor"/>
    </font>
    <font>
      <u/>
      <sz val="12"/>
      <color theme="10"/>
      <name val="Calibri"/>
      <family val="2"/>
      <scheme val="minor"/>
    </font>
    <font>
      <sz val="24"/>
      <color theme="1"/>
      <name val="Calibri"/>
      <family val="2"/>
      <scheme val="minor"/>
    </font>
    <font>
      <sz val="12"/>
      <name val="Calibri"/>
      <family val="2"/>
      <scheme val="minor"/>
    </font>
  </fonts>
  <fills count="10">
    <fill>
      <patternFill patternType="none"/>
    </fill>
    <fill>
      <patternFill patternType="gray125"/>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0"/>
        <bgColor indexed="64"/>
      </patternFill>
    </fill>
    <fill>
      <patternFill patternType="solid">
        <fgColor them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59999389629810485"/>
        <bgColor indexed="64"/>
      </patternFill>
    </fill>
  </fills>
  <borders count="12">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s>
  <cellStyleXfs count="9">
    <xf numFmtId="0" fontId="0" fillId="0" borderId="0"/>
    <xf numFmtId="9" fontId="1" fillId="0" borderId="0" applyFont="0" applyFill="0" applyBorder="0" applyAlignment="0" applyProtection="0"/>
    <xf numFmtId="0" fontId="3" fillId="0" borderId="0"/>
    <xf numFmtId="9" fontId="3" fillId="0" borderId="0" applyFont="0" applyFill="0" applyBorder="0" applyAlignment="0" applyProtection="0"/>
    <xf numFmtId="0" fontId="1" fillId="0" borderId="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13" fillId="0" borderId="0" applyNumberFormat="0" applyFill="0" applyBorder="0" applyAlignment="0" applyProtection="0"/>
  </cellStyleXfs>
  <cellXfs count="91">
    <xf numFmtId="0" fontId="0" fillId="0" borderId="0" xfId="0"/>
    <xf numFmtId="0" fontId="1" fillId="0" borderId="0" xfId="4"/>
    <xf numFmtId="0" fontId="4" fillId="5" borderId="0" xfId="4" applyFont="1" applyFill="1" applyAlignment="1">
      <alignment vertical="center"/>
    </xf>
    <xf numFmtId="0" fontId="2" fillId="0" borderId="1" xfId="4" applyFont="1" applyBorder="1"/>
    <xf numFmtId="0" fontId="1" fillId="0" borderId="1" xfId="4" applyBorder="1"/>
    <xf numFmtId="0" fontId="1" fillId="0" borderId="2" xfId="4" applyBorder="1"/>
    <xf numFmtId="164" fontId="1" fillId="6" borderId="2" xfId="4" applyNumberFormat="1" applyFill="1" applyBorder="1"/>
    <xf numFmtId="0" fontId="1" fillId="5" borderId="0" xfId="4" applyFill="1"/>
    <xf numFmtId="0" fontId="5" fillId="5" borderId="3" xfId="4" applyFont="1" applyFill="1" applyBorder="1"/>
    <xf numFmtId="0" fontId="5" fillId="0" borderId="3" xfId="4" applyFont="1" applyBorder="1"/>
    <xf numFmtId="0" fontId="6" fillId="5" borderId="3" xfId="4" applyFont="1" applyFill="1" applyBorder="1"/>
    <xf numFmtId="0" fontId="7" fillId="7" borderId="0" xfId="5" applyFont="1" applyFill="1"/>
    <xf numFmtId="0" fontId="3" fillId="7" borderId="0" xfId="5" applyFill="1"/>
    <xf numFmtId="0" fontId="7" fillId="8" borderId="0" xfId="6" applyFont="1" applyFill="1"/>
    <xf numFmtId="0" fontId="3" fillId="8" borderId="0" xfId="6" applyFill="1"/>
    <xf numFmtId="0" fontId="0" fillId="7" borderId="0" xfId="5" applyFont="1" applyFill="1"/>
    <xf numFmtId="164" fontId="3" fillId="7" borderId="0" xfId="5" applyNumberFormat="1" applyFill="1"/>
    <xf numFmtId="0" fontId="0" fillId="8" borderId="0" xfId="6" applyFont="1" applyFill="1"/>
    <xf numFmtId="164" fontId="3" fillId="8" borderId="0" xfId="5" applyNumberFormat="1" applyFill="1"/>
    <xf numFmtId="0" fontId="2" fillId="8" borderId="0" xfId="6" applyFont="1" applyFill="1"/>
    <xf numFmtId="165" fontId="2" fillId="8" borderId="0" xfId="6" applyNumberFormat="1" applyFont="1" applyFill="1"/>
    <xf numFmtId="0" fontId="3" fillId="0" borderId="0" xfId="7" applyFill="1"/>
    <xf numFmtId="0" fontId="3" fillId="9" borderId="0" xfId="7" applyFill="1"/>
    <xf numFmtId="0" fontId="5" fillId="9" borderId="0" xfId="7" applyFont="1" applyFill="1"/>
    <xf numFmtId="165" fontId="5" fillId="9" borderId="0" xfId="7" applyNumberFormat="1" applyFont="1" applyFill="1"/>
    <xf numFmtId="164" fontId="1" fillId="6" borderId="4" xfId="4" applyNumberFormat="1" applyFill="1" applyBorder="1"/>
    <xf numFmtId="0" fontId="2" fillId="7" borderId="0" xfId="5" applyFont="1" applyFill="1" applyBorder="1"/>
    <xf numFmtId="165" fontId="2" fillId="7" borderId="0" xfId="5" applyNumberFormat="1" applyFont="1" applyFill="1" applyBorder="1"/>
    <xf numFmtId="0" fontId="2" fillId="0" borderId="0" xfId="4" applyFont="1"/>
    <xf numFmtId="165" fontId="2" fillId="5" borderId="0" xfId="4" applyNumberFormat="1" applyFont="1" applyFill="1"/>
    <xf numFmtId="0" fontId="5" fillId="0" borderId="1" xfId="4" applyFont="1" applyBorder="1"/>
    <xf numFmtId="166" fontId="1" fillId="0" borderId="0" xfId="3" applyNumberFormat="1" applyFont="1" applyAlignment="1">
      <alignment horizontal="center"/>
    </xf>
    <xf numFmtId="164" fontId="1" fillId="0" borderId="0" xfId="4" applyNumberFormat="1" applyAlignment="1">
      <alignment horizontal="center"/>
    </xf>
    <xf numFmtId="164" fontId="1" fillId="6" borderId="0" xfId="4" applyNumberFormat="1" applyFill="1"/>
    <xf numFmtId="164" fontId="1" fillId="0" borderId="0" xfId="4" applyNumberFormat="1"/>
    <xf numFmtId="0" fontId="1" fillId="6" borderId="0" xfId="4" applyFill="1"/>
    <xf numFmtId="0" fontId="1" fillId="0" borderId="0" xfId="4" applyAlignment="1">
      <alignment horizontal="center"/>
    </xf>
    <xf numFmtId="0" fontId="5" fillId="0" borderId="0" xfId="4" applyFont="1"/>
    <xf numFmtId="9" fontId="1" fillId="0" borderId="0" xfId="3" applyFont="1" applyAlignment="1">
      <alignment horizontal="right"/>
    </xf>
    <xf numFmtId="166" fontId="1" fillId="0" borderId="0" xfId="3" applyNumberFormat="1" applyFont="1"/>
    <xf numFmtId="9" fontId="1" fillId="0" borderId="0" xfId="3" applyFont="1"/>
    <xf numFmtId="165" fontId="1" fillId="0" borderId="0" xfId="4" applyNumberFormat="1"/>
    <xf numFmtId="0" fontId="0" fillId="0" borderId="0" xfId="4" applyFont="1"/>
    <xf numFmtId="0" fontId="1" fillId="7" borderId="0" xfId="5" applyFont="1" applyFill="1"/>
    <xf numFmtId="0" fontId="0" fillId="0" borderId="2" xfId="4" applyFont="1" applyBorder="1"/>
    <xf numFmtId="0" fontId="1" fillId="0" borderId="0" xfId="2" applyFont="1"/>
    <xf numFmtId="0" fontId="4" fillId="5" borderId="0" xfId="4" applyFont="1" applyFill="1" applyAlignment="1">
      <alignment horizontal="center" vertical="center"/>
    </xf>
    <xf numFmtId="0" fontId="6" fillId="0" borderId="1" xfId="2" applyFont="1" applyBorder="1"/>
    <xf numFmtId="0" fontId="6" fillId="0" borderId="0" xfId="2" applyFont="1"/>
    <xf numFmtId="0" fontId="0" fillId="0" borderId="0" xfId="0" applyAlignment="1">
      <alignment wrapText="1"/>
    </xf>
    <xf numFmtId="0" fontId="0" fillId="0" borderId="0" xfId="0" applyAlignment="1">
      <alignment horizontal="right" vertical="top"/>
    </xf>
    <xf numFmtId="0" fontId="2" fillId="0" borderId="0" xfId="0" applyFont="1"/>
    <xf numFmtId="0" fontId="1" fillId="0" borderId="7" xfId="2" applyFont="1" applyBorder="1" applyAlignment="1">
      <alignment horizontal="center"/>
    </xf>
    <xf numFmtId="0" fontId="2" fillId="0" borderId="8" xfId="2" applyFont="1" applyBorder="1" applyAlignment="1">
      <alignment horizontal="center"/>
    </xf>
    <xf numFmtId="0" fontId="1" fillId="0" borderId="8" xfId="2" applyFont="1" applyBorder="1" applyAlignment="1">
      <alignment horizontal="center"/>
    </xf>
    <xf numFmtId="0" fontId="1" fillId="0" borderId="0" xfId="2" applyFont="1" applyAlignment="1">
      <alignment horizontal="center"/>
    </xf>
    <xf numFmtId="9" fontId="1" fillId="0" borderId="7" xfId="1" applyFont="1" applyBorder="1" applyAlignment="1">
      <alignment horizontal="center"/>
    </xf>
    <xf numFmtId="9" fontId="2" fillId="0" borderId="8" xfId="1" applyFont="1" applyBorder="1" applyAlignment="1">
      <alignment horizontal="center"/>
    </xf>
    <xf numFmtId="164" fontId="1" fillId="0" borderId="0" xfId="2" applyNumberFormat="1" applyFont="1" applyAlignment="1">
      <alignment horizontal="center"/>
    </xf>
    <xf numFmtId="0" fontId="1" fillId="0" borderId="5" xfId="2" applyFont="1" applyBorder="1" applyAlignment="1">
      <alignment horizontal="center"/>
    </xf>
    <xf numFmtId="9" fontId="1" fillId="0" borderId="5" xfId="3" applyFont="1" applyBorder="1" applyAlignment="1">
      <alignment horizontal="center"/>
    </xf>
    <xf numFmtId="164" fontId="2" fillId="0" borderId="1" xfId="2" applyNumberFormat="1" applyFont="1" applyBorder="1" applyAlignment="1">
      <alignment horizontal="center"/>
    </xf>
    <xf numFmtId="9" fontId="2" fillId="0" borderId="6" xfId="3" applyFont="1" applyBorder="1" applyAlignment="1">
      <alignment horizontal="center"/>
    </xf>
    <xf numFmtId="164" fontId="1" fillId="0" borderId="1" xfId="2" applyNumberFormat="1" applyFont="1" applyBorder="1" applyAlignment="1">
      <alignment horizontal="center"/>
    </xf>
    <xf numFmtId="0" fontId="2" fillId="0" borderId="6" xfId="2" applyFont="1" applyBorder="1" applyAlignment="1">
      <alignment horizontal="center"/>
    </xf>
    <xf numFmtId="0" fontId="1" fillId="0" borderId="6" xfId="2" applyFont="1" applyBorder="1" applyAlignment="1">
      <alignment horizontal="center"/>
    </xf>
    <xf numFmtId="0" fontId="12" fillId="0" borderId="5" xfId="2" applyFont="1" applyBorder="1" applyAlignment="1">
      <alignment horizontal="center"/>
    </xf>
    <xf numFmtId="0" fontId="2" fillId="0" borderId="0" xfId="2" applyFont="1" applyBorder="1"/>
    <xf numFmtId="0" fontId="1" fillId="0" borderId="0" xfId="2" applyFont="1" applyBorder="1"/>
    <xf numFmtId="0" fontId="12" fillId="0" borderId="1" xfId="2" applyFont="1" applyBorder="1" applyAlignment="1">
      <alignment horizontal="center"/>
    </xf>
    <xf numFmtId="164" fontId="1" fillId="0" borderId="9" xfId="2" applyNumberFormat="1" applyFont="1" applyBorder="1" applyAlignment="1">
      <alignment horizontal="center"/>
    </xf>
    <xf numFmtId="0" fontId="5" fillId="0" borderId="10" xfId="2" applyFont="1" applyBorder="1" applyAlignment="1">
      <alignment horizontal="center"/>
    </xf>
    <xf numFmtId="0" fontId="5" fillId="0" borderId="3" xfId="2" applyFont="1" applyBorder="1" applyAlignment="1">
      <alignment horizontal="center"/>
    </xf>
    <xf numFmtId="0" fontId="6" fillId="0" borderId="10" xfId="2" applyFont="1" applyBorder="1" applyAlignment="1">
      <alignment horizontal="center"/>
    </xf>
    <xf numFmtId="0" fontId="5" fillId="0" borderId="11" xfId="2" applyFont="1" applyBorder="1" applyAlignment="1">
      <alignment horizontal="center"/>
    </xf>
    <xf numFmtId="0" fontId="0" fillId="0" borderId="0" xfId="0" quotePrefix="1"/>
    <xf numFmtId="167" fontId="1" fillId="0" borderId="7" xfId="2" applyNumberFormat="1" applyFont="1" applyBorder="1" applyAlignment="1">
      <alignment horizontal="center"/>
    </xf>
    <xf numFmtId="164" fontId="1" fillId="0" borderId="7" xfId="2" applyNumberFormat="1" applyFont="1" applyBorder="1" applyAlignment="1">
      <alignment horizontal="center"/>
    </xf>
    <xf numFmtId="0" fontId="1" fillId="0" borderId="11" xfId="2" applyFont="1" applyBorder="1" applyAlignment="1">
      <alignment horizontal="center"/>
    </xf>
    <xf numFmtId="164" fontId="12" fillId="6" borderId="2" xfId="4" applyNumberFormat="1" applyFont="1" applyFill="1" applyBorder="1"/>
    <xf numFmtId="0" fontId="0" fillId="0" borderId="0" xfId="0" applyAlignment="1">
      <alignment vertical="top" wrapText="1"/>
    </xf>
    <xf numFmtId="0" fontId="0" fillId="0" borderId="0" xfId="0" applyAlignment="1">
      <alignment vertical="top"/>
    </xf>
    <xf numFmtId="0" fontId="13" fillId="0" borderId="0" xfId="8"/>
    <xf numFmtId="0" fontId="4" fillId="5" borderId="0" xfId="4" applyFont="1" applyFill="1" applyAlignment="1">
      <alignment horizontal="center" vertical="center"/>
    </xf>
    <xf numFmtId="0" fontId="4" fillId="5" borderId="0" xfId="4" applyFont="1" applyFill="1" applyAlignment="1">
      <alignment horizontal="center" vertical="center"/>
    </xf>
    <xf numFmtId="0" fontId="8" fillId="0" borderId="0" xfId="4" applyFont="1" applyAlignment="1">
      <alignment horizontal="center" vertical="center"/>
    </xf>
    <xf numFmtId="0" fontId="14" fillId="0" borderId="0" xfId="0" applyFont="1" applyAlignment="1">
      <alignment horizontal="center" vertical="center"/>
    </xf>
    <xf numFmtId="164" fontId="15" fillId="6" borderId="2" xfId="4" applyNumberFormat="1" applyFont="1" applyFill="1" applyBorder="1"/>
    <xf numFmtId="9" fontId="1" fillId="6" borderId="0" xfId="4" applyNumberFormat="1" applyFill="1" applyAlignment="1">
      <alignment horizontal="center"/>
    </xf>
    <xf numFmtId="0" fontId="0" fillId="0" borderId="1" xfId="0" applyBorder="1" applyAlignment="1">
      <alignment vertical="top"/>
    </xf>
    <xf numFmtId="9" fontId="0" fillId="6" borderId="0" xfId="4" applyNumberFormat="1" applyFont="1" applyFill="1" applyAlignment="1">
      <alignment horizontal="center"/>
    </xf>
  </cellXfs>
  <cellStyles count="9">
    <cellStyle name="40 % - Dekorfärg1 2" xfId="7" xr:uid="{C6A6B1CA-B3B4-1448-8126-2952DF22C589}"/>
    <cellStyle name="40 % - Dekorfärg3 2" xfId="5" xr:uid="{35BC3578-652B-DB48-AFDE-5C8FB2841DCA}"/>
    <cellStyle name="40 % - Dekorfärg4 2" xfId="6" xr:uid="{5DFA616A-E546-0A40-B592-27ABE2885502}"/>
    <cellStyle name="Hyperlänk" xfId="8" builtinId="8"/>
    <cellStyle name="Normal" xfId="0" builtinId="0"/>
    <cellStyle name="Normal 2" xfId="2" xr:uid="{A693770D-167D-4F44-A2DA-B2E991CE9934}"/>
    <cellStyle name="Normal 4" xfId="4" xr:uid="{D50B84C2-73AB-554C-9615-0EBD2418369E}"/>
    <cellStyle name="Procent" xfId="1" builtinId="5"/>
    <cellStyle name="Procent 2" xfId="3" xr:uid="{1443E3FA-3F87-B845-944A-60A1295D9F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Sammanställning!$B$12</c:f>
              <c:strCache>
                <c:ptCount val="1"/>
                <c:pt idx="0">
                  <c:v>Eget kapital</c:v>
                </c:pt>
              </c:strCache>
            </c:strRef>
          </c:tx>
          <c:spPr>
            <a:solidFill>
              <a:schemeClr val="accent1"/>
            </a:solidFill>
            <a:ln>
              <a:noFill/>
            </a:ln>
            <a:effectLst/>
          </c:spPr>
          <c:invertIfNegative val="0"/>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Sammanställning!$B$13:$B$21</c:f>
              <c:numCache>
                <c:formatCode>_-* #\ ##0\ _k_r_-;\-* #\ ##0\ _k_r_-;_-* "-"\ _k_r_-;_-@_-</c:formatCode>
                <c:ptCount val="9"/>
                <c:pt idx="0">
                  <c:v>742710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BC1F-8448-8370-093C89C21D85}"/>
            </c:ext>
          </c:extLst>
        </c:ser>
        <c:dLbls>
          <c:showLegendKey val="0"/>
          <c:showVal val="0"/>
          <c:showCatName val="0"/>
          <c:showSerName val="0"/>
          <c:showPercent val="0"/>
          <c:showBubbleSize val="0"/>
        </c:dLbls>
        <c:gapWidth val="219"/>
        <c:overlap val="-27"/>
        <c:axId val="1110250671"/>
        <c:axId val="1140595343"/>
      </c:barChart>
      <c:catAx>
        <c:axId val="11102506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0595343"/>
        <c:crosses val="autoZero"/>
        <c:auto val="1"/>
        <c:lblAlgn val="ctr"/>
        <c:lblOffset val="100"/>
        <c:noMultiLvlLbl val="0"/>
      </c:catAx>
      <c:valAx>
        <c:axId val="1140595343"/>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102506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Sammanställning!$D$12</c:f>
              <c:strCache>
                <c:ptCount val="1"/>
                <c:pt idx="0">
                  <c:v>Pengamaskin</c:v>
                </c:pt>
              </c:strCache>
            </c:strRef>
          </c:tx>
          <c:spPr>
            <a:solidFill>
              <a:schemeClr val="accent6"/>
            </a:solidFill>
            <a:ln>
              <a:noFill/>
            </a:ln>
            <a:effectLst/>
          </c:spPr>
          <c:invertIfNegative val="0"/>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Sammanställning!$D$13:$D$21</c:f>
              <c:numCache>
                <c:formatCode>_-* #\ ##0\ _k_r_-;\-* #\ ##0\ _k_r_-;_-* "-"\ _k_r_-;_-@_-</c:formatCode>
                <c:ptCount val="9"/>
                <c:pt idx="0">
                  <c:v>230000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C390-6042-B06F-62D16714E7EE}"/>
            </c:ext>
          </c:extLst>
        </c:ser>
        <c:dLbls>
          <c:showLegendKey val="0"/>
          <c:showVal val="0"/>
          <c:showCatName val="0"/>
          <c:showSerName val="0"/>
          <c:showPercent val="0"/>
          <c:showBubbleSize val="0"/>
        </c:dLbls>
        <c:gapWidth val="219"/>
        <c:overlap val="-27"/>
        <c:axId val="1231785839"/>
        <c:axId val="1144673247"/>
      </c:barChart>
      <c:catAx>
        <c:axId val="12317858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4673247"/>
        <c:crosses val="autoZero"/>
        <c:auto val="1"/>
        <c:lblAlgn val="ctr"/>
        <c:lblOffset val="100"/>
        <c:noMultiLvlLbl val="0"/>
      </c:catAx>
      <c:valAx>
        <c:axId val="1144673247"/>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2317858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b="0"/>
              <a:t>FIRE-nivå</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sv-SE"/>
        </a:p>
      </c:txPr>
    </c:title>
    <c:autoTitleDeleted val="0"/>
    <c:plotArea>
      <c:layout/>
      <c:lineChart>
        <c:grouping val="standard"/>
        <c:varyColors val="0"/>
        <c:ser>
          <c:idx val="0"/>
          <c:order val="0"/>
          <c:tx>
            <c:strRef>
              <c:f>Sammanställning!$F$12</c:f>
              <c:strCache>
                <c:ptCount val="1"/>
                <c:pt idx="0">
                  <c:v>FIRE-nivå</c:v>
                </c:pt>
              </c:strCache>
            </c:strRef>
          </c:tx>
          <c:spPr>
            <a:ln w="31750" cap="rnd">
              <a:solidFill>
                <a:schemeClr val="accent2"/>
              </a:solidFill>
              <a:round/>
            </a:ln>
            <a:effectLst/>
          </c:spPr>
          <c:marker>
            <c:symbol val="none"/>
          </c:marker>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Sammanställning!$F$13:$F$21</c:f>
              <c:numCache>
                <c:formatCode>General</c:formatCode>
                <c:ptCount val="9"/>
                <c:pt idx="0">
                  <c:v>0.96</c:v>
                </c:pt>
                <c:pt idx="1">
                  <c:v>0</c:v>
                </c:pt>
                <c:pt idx="2">
                  <c:v>0</c:v>
                </c:pt>
                <c:pt idx="3">
                  <c:v>0</c:v>
                </c:pt>
                <c:pt idx="4">
                  <c:v>0</c:v>
                </c:pt>
                <c:pt idx="5">
                  <c:v>0</c:v>
                </c:pt>
                <c:pt idx="6">
                  <c:v>0</c:v>
                </c:pt>
                <c:pt idx="7">
                  <c:v>0</c:v>
                </c:pt>
                <c:pt idx="8">
                  <c:v>0</c:v>
                </c:pt>
              </c:numCache>
            </c:numRef>
          </c:val>
          <c:smooth val="0"/>
          <c:extLst>
            <c:ext xmlns:c16="http://schemas.microsoft.com/office/drawing/2014/chart" uri="{C3380CC4-5D6E-409C-BE32-E72D297353CC}">
              <c16:uniqueId val="{00000000-3E8F-BF4E-A31C-D76E85727D2A}"/>
            </c:ext>
          </c:extLst>
        </c:ser>
        <c:dLbls>
          <c:showLegendKey val="0"/>
          <c:showVal val="0"/>
          <c:showCatName val="0"/>
          <c:showSerName val="0"/>
          <c:showPercent val="0"/>
          <c:showBubbleSize val="0"/>
        </c:dLbls>
        <c:smooth val="0"/>
        <c:axId val="1141052143"/>
        <c:axId val="1141789599"/>
      </c:lineChart>
      <c:catAx>
        <c:axId val="1141052143"/>
        <c:scaling>
          <c:orientation val="minMax"/>
        </c:scaling>
        <c:delete val="0"/>
        <c:axPos val="b"/>
        <c:numFmt formatCode="General" sourceLinked="1"/>
        <c:majorTickMark val="out"/>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sv-SE"/>
          </a:p>
        </c:txPr>
        <c:crossAx val="1141789599"/>
        <c:crosses val="autoZero"/>
        <c:auto val="1"/>
        <c:lblAlgn val="ctr"/>
        <c:lblOffset val="100"/>
        <c:noMultiLvlLbl val="0"/>
      </c:catAx>
      <c:valAx>
        <c:axId val="1141789599"/>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sv-SE"/>
          </a:p>
        </c:txPr>
        <c:crossAx val="114105214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8"/>
    </mc:Choice>
    <mc:Fallback>
      <c:style val="8"/>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lineChart>
        <c:grouping val="standard"/>
        <c:varyColors val="0"/>
        <c:ser>
          <c:idx val="0"/>
          <c:order val="0"/>
          <c:tx>
            <c:strRef>
              <c:f>Sammanställning!$G$12</c:f>
              <c:strCache>
                <c:ptCount val="1"/>
                <c:pt idx="0">
                  <c:v>Ekonomiskt fri %</c:v>
                </c:pt>
              </c:strCache>
            </c:strRef>
          </c:tx>
          <c:spPr>
            <a:ln w="28575" cap="rnd">
              <a:solidFill>
                <a:schemeClr val="accent6"/>
              </a:solidFill>
              <a:round/>
            </a:ln>
            <a:effectLst/>
          </c:spPr>
          <c:marker>
            <c:symbol val="none"/>
          </c:marker>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Sammanställning!$G$13:$G$21</c:f>
              <c:numCache>
                <c:formatCode>0%</c:formatCode>
                <c:ptCount val="9"/>
                <c:pt idx="0">
                  <c:v>3.833333333333333E-2</c:v>
                </c:pt>
                <c:pt idx="1">
                  <c:v>0</c:v>
                </c:pt>
                <c:pt idx="2">
                  <c:v>0</c:v>
                </c:pt>
                <c:pt idx="3">
                  <c:v>0</c:v>
                </c:pt>
                <c:pt idx="4">
                  <c:v>0</c:v>
                </c:pt>
                <c:pt idx="5" formatCode="General">
                  <c:v>0</c:v>
                </c:pt>
                <c:pt idx="6" formatCode="General">
                  <c:v>0</c:v>
                </c:pt>
                <c:pt idx="7" formatCode="General">
                  <c:v>0</c:v>
                </c:pt>
                <c:pt idx="8">
                  <c:v>0</c:v>
                </c:pt>
              </c:numCache>
            </c:numRef>
          </c:val>
          <c:smooth val="0"/>
          <c:extLst>
            <c:ext xmlns:c16="http://schemas.microsoft.com/office/drawing/2014/chart" uri="{C3380CC4-5D6E-409C-BE32-E72D297353CC}">
              <c16:uniqueId val="{00000000-5269-EA47-95A5-7E492EC7ADF2}"/>
            </c:ext>
          </c:extLst>
        </c:ser>
        <c:dLbls>
          <c:showLegendKey val="0"/>
          <c:showVal val="0"/>
          <c:showCatName val="0"/>
          <c:showSerName val="0"/>
          <c:showPercent val="0"/>
          <c:showBubbleSize val="0"/>
        </c:dLbls>
        <c:smooth val="0"/>
        <c:axId val="1140848239"/>
        <c:axId val="1152982767"/>
      </c:lineChart>
      <c:catAx>
        <c:axId val="11408482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2982767"/>
        <c:crosses val="autoZero"/>
        <c:auto val="1"/>
        <c:lblAlgn val="ctr"/>
        <c:lblOffset val="100"/>
        <c:noMultiLvlLbl val="0"/>
      </c:catAx>
      <c:valAx>
        <c:axId val="115298276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08482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Fonder &amp; aktier - exkl tj.pension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Sammanställning!$I$12</c:f>
              <c:strCache>
                <c:ptCount val="1"/>
                <c:pt idx="0">
                  <c:v>Fonder &amp; aktier</c:v>
                </c:pt>
              </c:strCache>
            </c:strRef>
          </c:tx>
          <c:spPr>
            <a:solidFill>
              <a:schemeClr val="accent4"/>
            </a:solidFill>
            <a:ln>
              <a:noFill/>
            </a:ln>
            <a:effectLst/>
          </c:spPr>
          <c:invertIfNegative val="0"/>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Sammanställning!$I$13:$I$21</c:f>
              <c:numCache>
                <c:formatCode>_-* #\ ##0\ _k_r_-;\-* #\ ##0\ _k_r_-;_-* "-"\ _k_r_-;_-@_-</c:formatCode>
                <c:ptCount val="9"/>
                <c:pt idx="0">
                  <c:v>80000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1500-1445-A4E5-6B732A6D340B}"/>
            </c:ext>
          </c:extLst>
        </c:ser>
        <c:dLbls>
          <c:showLegendKey val="0"/>
          <c:showVal val="0"/>
          <c:showCatName val="0"/>
          <c:showSerName val="0"/>
          <c:showPercent val="0"/>
          <c:showBubbleSize val="0"/>
        </c:dLbls>
        <c:gapWidth val="219"/>
        <c:overlap val="-27"/>
        <c:axId val="1214269183"/>
        <c:axId val="1141387871"/>
      </c:barChart>
      <c:catAx>
        <c:axId val="12142691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1387871"/>
        <c:crosses val="autoZero"/>
        <c:auto val="1"/>
        <c:lblAlgn val="ctr"/>
        <c:lblOffset val="100"/>
        <c:noMultiLvlLbl val="0"/>
      </c:catAx>
      <c:valAx>
        <c:axId val="1141387871"/>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2142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7"/>
    </mc:Choice>
    <mc:Fallback>
      <c:style val="7"/>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Sammanställning!$H$12</c:f>
              <c:strCache>
                <c:ptCount val="1"/>
                <c:pt idx="0">
                  <c:v>Trygghetsmånader</c:v>
                </c:pt>
              </c:strCache>
            </c:strRef>
          </c:tx>
          <c:spPr>
            <a:solidFill>
              <a:schemeClr val="accent5"/>
            </a:solidFill>
            <a:ln>
              <a:noFill/>
            </a:ln>
            <a:effectLst/>
          </c:spPr>
          <c:invertIfNegative val="0"/>
          <c:cat>
            <c:strRef>
              <c:f>Sammanställning!$A$13:$A$21</c:f>
              <c:strCache>
                <c:ptCount val="9"/>
                <c:pt idx="0">
                  <c:v>2020.Q4</c:v>
                </c:pt>
                <c:pt idx="1">
                  <c:v>2021.Q1</c:v>
                </c:pt>
                <c:pt idx="2">
                  <c:v>2021.Q2</c:v>
                </c:pt>
                <c:pt idx="3">
                  <c:v>2021.Q3</c:v>
                </c:pt>
                <c:pt idx="4">
                  <c:v>2021.Q4</c:v>
                </c:pt>
                <c:pt idx="5">
                  <c:v>2022.Q1</c:v>
                </c:pt>
                <c:pt idx="6">
                  <c:v>2022.Q2</c:v>
                </c:pt>
                <c:pt idx="7">
                  <c:v>2022.Q3</c:v>
                </c:pt>
                <c:pt idx="8">
                  <c:v>2022.Q4</c:v>
                </c:pt>
              </c:strCache>
            </c:strRef>
          </c:cat>
          <c:val>
            <c:numRef>
              <c:f>Sammanställning!$H$13:$H$21</c:f>
              <c:numCache>
                <c:formatCode>General</c:formatCode>
                <c:ptCount val="9"/>
                <c:pt idx="0">
                  <c:v>5.14</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4C0D-4D47-8B11-AF0983BE291D}"/>
            </c:ext>
          </c:extLst>
        </c:ser>
        <c:dLbls>
          <c:showLegendKey val="0"/>
          <c:showVal val="0"/>
          <c:showCatName val="0"/>
          <c:showSerName val="0"/>
          <c:showPercent val="0"/>
          <c:showBubbleSize val="0"/>
        </c:dLbls>
        <c:gapWidth val="219"/>
        <c:overlap val="-27"/>
        <c:axId val="1148834527"/>
        <c:axId val="1187740879"/>
      </c:barChart>
      <c:catAx>
        <c:axId val="11488345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87740879"/>
        <c:crosses val="autoZero"/>
        <c:auto val="1"/>
        <c:lblAlgn val="ctr"/>
        <c:lblOffset val="100"/>
        <c:noMultiLvlLbl val="0"/>
      </c:catAx>
      <c:valAx>
        <c:axId val="11877408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88345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Sammanställning!$B$1</c:f>
              <c:strCache>
                <c:ptCount val="1"/>
                <c:pt idx="0">
                  <c:v>Eget kapital</c:v>
                </c:pt>
              </c:strCache>
            </c:strRef>
          </c:tx>
          <c:spPr>
            <a:solidFill>
              <a:schemeClr val="accent1"/>
            </a:solidFill>
            <a:ln>
              <a:noFill/>
            </a:ln>
            <a:effectLst/>
          </c:spPr>
          <c:invertIfNegative val="0"/>
          <c:cat>
            <c:numRef>
              <c:f>Sammanställning!$A$2:$A$7</c:f>
              <c:numCache>
                <c:formatCode>General</c:formatCode>
                <c:ptCount val="6"/>
                <c:pt idx="0">
                  <c:v>2020</c:v>
                </c:pt>
                <c:pt idx="1">
                  <c:v>2021</c:v>
                </c:pt>
                <c:pt idx="2">
                  <c:v>2022</c:v>
                </c:pt>
                <c:pt idx="3">
                  <c:v>2023</c:v>
                </c:pt>
                <c:pt idx="4">
                  <c:v>2024</c:v>
                </c:pt>
                <c:pt idx="5">
                  <c:v>2025</c:v>
                </c:pt>
              </c:numCache>
            </c:numRef>
          </c:cat>
          <c:val>
            <c:numRef>
              <c:f>Sammanställning!$B$2:$B$7</c:f>
              <c:numCache>
                <c:formatCode>_-* #\ ##0\ _k_r_-;\-* #\ ##0\ _k_r_-;_-* "-"\ _k_r_-;_-@_-</c:formatCode>
                <c:ptCount val="6"/>
                <c:pt idx="0">
                  <c:v>742710</c:v>
                </c:pt>
                <c:pt idx="1">
                  <c:v>0</c:v>
                </c:pt>
                <c:pt idx="2">
                  <c:v>0</c:v>
                </c:pt>
                <c:pt idx="3">
                  <c:v>0</c:v>
                </c:pt>
                <c:pt idx="4">
                  <c:v>0</c:v>
                </c:pt>
                <c:pt idx="5">
                  <c:v>0</c:v>
                </c:pt>
              </c:numCache>
            </c:numRef>
          </c:val>
          <c:extLst>
            <c:ext xmlns:c16="http://schemas.microsoft.com/office/drawing/2014/chart" uri="{C3380CC4-5D6E-409C-BE32-E72D297353CC}">
              <c16:uniqueId val="{00000000-563B-7B47-B437-9FECFAE0A584}"/>
            </c:ext>
          </c:extLst>
        </c:ser>
        <c:dLbls>
          <c:showLegendKey val="0"/>
          <c:showVal val="0"/>
          <c:showCatName val="0"/>
          <c:showSerName val="0"/>
          <c:showPercent val="0"/>
          <c:showBubbleSize val="0"/>
        </c:dLbls>
        <c:gapWidth val="219"/>
        <c:overlap val="-27"/>
        <c:axId val="1110250671"/>
        <c:axId val="1140595343"/>
      </c:barChart>
      <c:catAx>
        <c:axId val="11102506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0595343"/>
        <c:crosses val="autoZero"/>
        <c:auto val="1"/>
        <c:lblAlgn val="ctr"/>
        <c:lblOffset val="100"/>
        <c:noMultiLvlLbl val="0"/>
      </c:catAx>
      <c:valAx>
        <c:axId val="1140595343"/>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102506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Sammanställning!$D$1</c:f>
              <c:strCache>
                <c:ptCount val="1"/>
                <c:pt idx="0">
                  <c:v>Pengamaskin</c:v>
                </c:pt>
              </c:strCache>
            </c:strRef>
          </c:tx>
          <c:spPr>
            <a:solidFill>
              <a:schemeClr val="accent6"/>
            </a:solidFill>
            <a:ln>
              <a:noFill/>
            </a:ln>
            <a:effectLst/>
          </c:spPr>
          <c:invertIfNegative val="0"/>
          <c:cat>
            <c:numRef>
              <c:f>Sammanställning!$A$2:$A$7</c:f>
              <c:numCache>
                <c:formatCode>General</c:formatCode>
                <c:ptCount val="6"/>
                <c:pt idx="0">
                  <c:v>2020</c:v>
                </c:pt>
                <c:pt idx="1">
                  <c:v>2021</c:v>
                </c:pt>
                <c:pt idx="2">
                  <c:v>2022</c:v>
                </c:pt>
                <c:pt idx="3">
                  <c:v>2023</c:v>
                </c:pt>
                <c:pt idx="4">
                  <c:v>2024</c:v>
                </c:pt>
                <c:pt idx="5">
                  <c:v>2025</c:v>
                </c:pt>
              </c:numCache>
            </c:numRef>
          </c:cat>
          <c:val>
            <c:numRef>
              <c:f>Sammanställning!$D$2:$D$7</c:f>
              <c:numCache>
                <c:formatCode>_-* #\ ##0\ _k_r_-;\-* #\ ##0\ _k_r_-;_-* "-"\ _k_r_-;_-@_-</c:formatCode>
                <c:ptCount val="6"/>
                <c:pt idx="0">
                  <c:v>230000</c:v>
                </c:pt>
                <c:pt idx="1">
                  <c:v>0</c:v>
                </c:pt>
                <c:pt idx="2">
                  <c:v>0</c:v>
                </c:pt>
                <c:pt idx="3">
                  <c:v>0</c:v>
                </c:pt>
                <c:pt idx="4">
                  <c:v>0</c:v>
                </c:pt>
                <c:pt idx="5">
                  <c:v>0</c:v>
                </c:pt>
              </c:numCache>
            </c:numRef>
          </c:val>
          <c:extLst>
            <c:ext xmlns:c16="http://schemas.microsoft.com/office/drawing/2014/chart" uri="{C3380CC4-5D6E-409C-BE32-E72D297353CC}">
              <c16:uniqueId val="{00000000-7978-2C49-A8BF-67070066F75C}"/>
            </c:ext>
          </c:extLst>
        </c:ser>
        <c:dLbls>
          <c:showLegendKey val="0"/>
          <c:showVal val="0"/>
          <c:showCatName val="0"/>
          <c:showSerName val="0"/>
          <c:showPercent val="0"/>
          <c:showBubbleSize val="0"/>
        </c:dLbls>
        <c:gapWidth val="219"/>
        <c:overlap val="-27"/>
        <c:axId val="1231785839"/>
        <c:axId val="1144673247"/>
      </c:barChart>
      <c:catAx>
        <c:axId val="12317858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4673247"/>
        <c:crosses val="autoZero"/>
        <c:auto val="1"/>
        <c:lblAlgn val="ctr"/>
        <c:lblOffset val="100"/>
        <c:noMultiLvlLbl val="0"/>
      </c:catAx>
      <c:valAx>
        <c:axId val="1144673247"/>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2317858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b="0"/>
              <a:t>FIRE-nivå</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sv-SE"/>
        </a:p>
      </c:txPr>
    </c:title>
    <c:autoTitleDeleted val="0"/>
    <c:plotArea>
      <c:layout/>
      <c:lineChart>
        <c:grouping val="standard"/>
        <c:varyColors val="0"/>
        <c:ser>
          <c:idx val="0"/>
          <c:order val="0"/>
          <c:tx>
            <c:strRef>
              <c:f>Sammanställning!$F$1</c:f>
              <c:strCache>
                <c:ptCount val="1"/>
                <c:pt idx="0">
                  <c:v>FIRE-nivå</c:v>
                </c:pt>
              </c:strCache>
            </c:strRef>
          </c:tx>
          <c:spPr>
            <a:ln w="31750" cap="rnd">
              <a:solidFill>
                <a:schemeClr val="accent2"/>
              </a:solidFill>
              <a:round/>
            </a:ln>
            <a:effectLst/>
          </c:spPr>
          <c:marker>
            <c:symbol val="none"/>
          </c:marker>
          <c:cat>
            <c:numRef>
              <c:f>Sammanställning!$A$2:$A$7</c:f>
              <c:numCache>
                <c:formatCode>General</c:formatCode>
                <c:ptCount val="6"/>
                <c:pt idx="0">
                  <c:v>2020</c:v>
                </c:pt>
                <c:pt idx="1">
                  <c:v>2021</c:v>
                </c:pt>
                <c:pt idx="2">
                  <c:v>2022</c:v>
                </c:pt>
                <c:pt idx="3">
                  <c:v>2023</c:v>
                </c:pt>
                <c:pt idx="4">
                  <c:v>2024</c:v>
                </c:pt>
                <c:pt idx="5">
                  <c:v>2025</c:v>
                </c:pt>
              </c:numCache>
            </c:numRef>
          </c:cat>
          <c:val>
            <c:numRef>
              <c:f>Sammanställning!$F$2:$F$7</c:f>
              <c:numCache>
                <c:formatCode>_-* #\ ##0.00\ _k_r_-;\-* #\ ##0.00\ _k_r_-;_-* "-"\ _k_r_-;_-@_-</c:formatCode>
                <c:ptCount val="6"/>
                <c:pt idx="0">
                  <c:v>0.96</c:v>
                </c:pt>
                <c:pt idx="1">
                  <c:v>0</c:v>
                </c:pt>
                <c:pt idx="2">
                  <c:v>0</c:v>
                </c:pt>
                <c:pt idx="3">
                  <c:v>0</c:v>
                </c:pt>
                <c:pt idx="4">
                  <c:v>0</c:v>
                </c:pt>
                <c:pt idx="5">
                  <c:v>0</c:v>
                </c:pt>
              </c:numCache>
            </c:numRef>
          </c:val>
          <c:smooth val="0"/>
          <c:extLst>
            <c:ext xmlns:c16="http://schemas.microsoft.com/office/drawing/2014/chart" uri="{C3380CC4-5D6E-409C-BE32-E72D297353CC}">
              <c16:uniqueId val="{00000000-CB3B-AD4C-B8BD-8B5AEC7AF2D8}"/>
            </c:ext>
          </c:extLst>
        </c:ser>
        <c:dLbls>
          <c:showLegendKey val="0"/>
          <c:showVal val="0"/>
          <c:showCatName val="0"/>
          <c:showSerName val="0"/>
          <c:showPercent val="0"/>
          <c:showBubbleSize val="0"/>
        </c:dLbls>
        <c:smooth val="0"/>
        <c:axId val="1141052143"/>
        <c:axId val="1141789599"/>
      </c:lineChart>
      <c:catAx>
        <c:axId val="1141052143"/>
        <c:scaling>
          <c:orientation val="minMax"/>
        </c:scaling>
        <c:delete val="0"/>
        <c:axPos val="b"/>
        <c:numFmt formatCode="General" sourceLinked="1"/>
        <c:majorTickMark val="out"/>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sv-SE"/>
          </a:p>
        </c:txPr>
        <c:crossAx val="1141789599"/>
        <c:crosses val="autoZero"/>
        <c:auto val="1"/>
        <c:lblAlgn val="ctr"/>
        <c:lblOffset val="100"/>
        <c:noMultiLvlLbl val="0"/>
      </c:catAx>
      <c:valAx>
        <c:axId val="1141789599"/>
        <c:scaling>
          <c:orientation val="minMax"/>
        </c:scaling>
        <c:delete val="0"/>
        <c:axPos val="l"/>
        <c:majorGridlines>
          <c:spPr>
            <a:ln w="9525" cap="flat" cmpd="sng" algn="ctr">
              <a:solidFill>
                <a:schemeClr val="tx2">
                  <a:lumMod val="15000"/>
                  <a:lumOff val="85000"/>
                </a:schemeClr>
              </a:solidFill>
              <a:round/>
            </a:ln>
            <a:effectLst/>
          </c:spPr>
        </c:majorGridlines>
        <c:numFmt formatCode="_-* #\ ##0.00\ _k_r_-;\-* #\ ##0.0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sv-SE"/>
          </a:p>
        </c:txPr>
        <c:crossAx val="114105214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8"/>
    </mc:Choice>
    <mc:Fallback>
      <c:style val="8"/>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lineChart>
        <c:grouping val="standard"/>
        <c:varyColors val="0"/>
        <c:ser>
          <c:idx val="0"/>
          <c:order val="0"/>
          <c:tx>
            <c:strRef>
              <c:f>Sammanställning!$G$1</c:f>
              <c:strCache>
                <c:ptCount val="1"/>
                <c:pt idx="0">
                  <c:v>Ekonomiskt fri %</c:v>
                </c:pt>
              </c:strCache>
            </c:strRef>
          </c:tx>
          <c:spPr>
            <a:ln w="28575" cap="rnd">
              <a:solidFill>
                <a:schemeClr val="accent6"/>
              </a:solidFill>
              <a:round/>
            </a:ln>
            <a:effectLst/>
          </c:spPr>
          <c:marker>
            <c:symbol val="none"/>
          </c:marker>
          <c:cat>
            <c:numRef>
              <c:f>Sammanställning!$A$2:$A$7</c:f>
              <c:numCache>
                <c:formatCode>General</c:formatCode>
                <c:ptCount val="6"/>
                <c:pt idx="0">
                  <c:v>2020</c:v>
                </c:pt>
                <c:pt idx="1">
                  <c:v>2021</c:v>
                </c:pt>
                <c:pt idx="2">
                  <c:v>2022</c:v>
                </c:pt>
                <c:pt idx="3">
                  <c:v>2023</c:v>
                </c:pt>
                <c:pt idx="4">
                  <c:v>2024</c:v>
                </c:pt>
                <c:pt idx="5">
                  <c:v>2025</c:v>
                </c:pt>
              </c:numCache>
            </c:numRef>
          </c:cat>
          <c:val>
            <c:numRef>
              <c:f>Sammanställning!$G$2:$G$7</c:f>
              <c:numCache>
                <c:formatCode>_-* #\ ##0\ _k_r_-;\-* #\ ##0\ _k_r_-;_-* "-"\ _k_r_-;_-@_-</c:formatCode>
                <c:ptCount val="6"/>
                <c:pt idx="0">
                  <c:v>3.833333333333333E-2</c:v>
                </c:pt>
                <c:pt idx="1">
                  <c:v>0</c:v>
                </c:pt>
                <c:pt idx="2">
                  <c:v>0</c:v>
                </c:pt>
                <c:pt idx="3">
                  <c:v>0</c:v>
                </c:pt>
                <c:pt idx="4">
                  <c:v>0</c:v>
                </c:pt>
                <c:pt idx="5">
                  <c:v>0</c:v>
                </c:pt>
              </c:numCache>
            </c:numRef>
          </c:val>
          <c:smooth val="0"/>
          <c:extLst>
            <c:ext xmlns:c16="http://schemas.microsoft.com/office/drawing/2014/chart" uri="{C3380CC4-5D6E-409C-BE32-E72D297353CC}">
              <c16:uniqueId val="{00000000-53B6-EB4A-BBAB-60A38DA3BF59}"/>
            </c:ext>
          </c:extLst>
        </c:ser>
        <c:dLbls>
          <c:showLegendKey val="0"/>
          <c:showVal val="0"/>
          <c:showCatName val="0"/>
          <c:showSerName val="0"/>
          <c:showPercent val="0"/>
          <c:showBubbleSize val="0"/>
        </c:dLbls>
        <c:smooth val="0"/>
        <c:axId val="1140848239"/>
        <c:axId val="1152982767"/>
      </c:lineChart>
      <c:catAx>
        <c:axId val="11408482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52982767"/>
        <c:crosses val="autoZero"/>
        <c:auto val="1"/>
        <c:lblAlgn val="ctr"/>
        <c:lblOffset val="100"/>
        <c:noMultiLvlLbl val="0"/>
      </c:catAx>
      <c:valAx>
        <c:axId val="1152982767"/>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0848239"/>
        <c:crosses val="autoZero"/>
        <c:crossBetween val="between"/>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Fonder &amp; aktier - exkl tj.pension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Sammanställning!$I$1</c:f>
              <c:strCache>
                <c:ptCount val="1"/>
                <c:pt idx="0">
                  <c:v>Fonder &amp; aktier</c:v>
                </c:pt>
              </c:strCache>
            </c:strRef>
          </c:tx>
          <c:spPr>
            <a:solidFill>
              <a:schemeClr val="accent4"/>
            </a:solidFill>
            <a:ln>
              <a:noFill/>
            </a:ln>
            <a:effectLst/>
          </c:spPr>
          <c:invertIfNegative val="0"/>
          <c:cat>
            <c:numRef>
              <c:f>Sammanställning!$A$2:$A$7</c:f>
              <c:numCache>
                <c:formatCode>General</c:formatCode>
                <c:ptCount val="6"/>
                <c:pt idx="0">
                  <c:v>2020</c:v>
                </c:pt>
                <c:pt idx="1">
                  <c:v>2021</c:v>
                </c:pt>
                <c:pt idx="2">
                  <c:v>2022</c:v>
                </c:pt>
                <c:pt idx="3">
                  <c:v>2023</c:v>
                </c:pt>
                <c:pt idx="4">
                  <c:v>2024</c:v>
                </c:pt>
                <c:pt idx="5">
                  <c:v>2025</c:v>
                </c:pt>
              </c:numCache>
            </c:numRef>
          </c:cat>
          <c:val>
            <c:numRef>
              <c:f>Sammanställning!$I$2:$I$7</c:f>
              <c:numCache>
                <c:formatCode>_-* #\ ##0\ _k_r_-;\-* #\ ##0\ _k_r_-;_-* "-"\ _k_r_-;_-@_-</c:formatCode>
                <c:ptCount val="6"/>
                <c:pt idx="0">
                  <c:v>80000</c:v>
                </c:pt>
                <c:pt idx="1">
                  <c:v>0</c:v>
                </c:pt>
                <c:pt idx="2">
                  <c:v>0</c:v>
                </c:pt>
                <c:pt idx="3">
                  <c:v>0</c:v>
                </c:pt>
                <c:pt idx="4">
                  <c:v>0</c:v>
                </c:pt>
                <c:pt idx="5">
                  <c:v>0</c:v>
                </c:pt>
              </c:numCache>
            </c:numRef>
          </c:val>
          <c:extLst>
            <c:ext xmlns:c16="http://schemas.microsoft.com/office/drawing/2014/chart" uri="{C3380CC4-5D6E-409C-BE32-E72D297353CC}">
              <c16:uniqueId val="{00000000-6811-D143-8500-FDDD2246A2A9}"/>
            </c:ext>
          </c:extLst>
        </c:ser>
        <c:dLbls>
          <c:showLegendKey val="0"/>
          <c:showVal val="0"/>
          <c:showCatName val="0"/>
          <c:showSerName val="0"/>
          <c:showPercent val="0"/>
          <c:showBubbleSize val="0"/>
        </c:dLbls>
        <c:gapWidth val="219"/>
        <c:overlap val="-27"/>
        <c:axId val="1214269183"/>
        <c:axId val="1141387871"/>
      </c:barChart>
      <c:catAx>
        <c:axId val="12142691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1387871"/>
        <c:crosses val="autoZero"/>
        <c:auto val="1"/>
        <c:lblAlgn val="ctr"/>
        <c:lblOffset val="100"/>
        <c:noMultiLvlLbl val="0"/>
      </c:catAx>
      <c:valAx>
        <c:axId val="1141387871"/>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2142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7"/>
    </mc:Choice>
    <mc:Fallback>
      <c:style val="7"/>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barChart>
        <c:barDir val="col"/>
        <c:grouping val="clustered"/>
        <c:varyColors val="0"/>
        <c:ser>
          <c:idx val="0"/>
          <c:order val="0"/>
          <c:tx>
            <c:strRef>
              <c:f>Sammanställning!$H$1</c:f>
              <c:strCache>
                <c:ptCount val="1"/>
                <c:pt idx="0">
                  <c:v>Trygghetsmånader</c:v>
                </c:pt>
              </c:strCache>
            </c:strRef>
          </c:tx>
          <c:spPr>
            <a:solidFill>
              <a:schemeClr val="accent5"/>
            </a:solidFill>
            <a:ln>
              <a:noFill/>
            </a:ln>
            <a:effectLst/>
          </c:spPr>
          <c:invertIfNegative val="0"/>
          <c:cat>
            <c:numRef>
              <c:f>Sammanställning!$A$2:$A$7</c:f>
              <c:numCache>
                <c:formatCode>General</c:formatCode>
                <c:ptCount val="6"/>
                <c:pt idx="0">
                  <c:v>2020</c:v>
                </c:pt>
                <c:pt idx="1">
                  <c:v>2021</c:v>
                </c:pt>
                <c:pt idx="2">
                  <c:v>2022</c:v>
                </c:pt>
                <c:pt idx="3">
                  <c:v>2023</c:v>
                </c:pt>
                <c:pt idx="4">
                  <c:v>2024</c:v>
                </c:pt>
                <c:pt idx="5">
                  <c:v>2025</c:v>
                </c:pt>
              </c:numCache>
            </c:numRef>
          </c:cat>
          <c:val>
            <c:numRef>
              <c:f>Sammanställning!$H$2:$H$7</c:f>
              <c:numCache>
                <c:formatCode>_-* #\ ##0\ _k_r_-;\-* #\ ##0\ _k_r_-;_-* "-"\ _k_r_-;_-@_-</c:formatCode>
                <c:ptCount val="6"/>
                <c:pt idx="0">
                  <c:v>5.14</c:v>
                </c:pt>
                <c:pt idx="1">
                  <c:v>0</c:v>
                </c:pt>
                <c:pt idx="2">
                  <c:v>0</c:v>
                </c:pt>
                <c:pt idx="3">
                  <c:v>0</c:v>
                </c:pt>
                <c:pt idx="4">
                  <c:v>0</c:v>
                </c:pt>
                <c:pt idx="5">
                  <c:v>0</c:v>
                </c:pt>
              </c:numCache>
            </c:numRef>
          </c:val>
          <c:extLst>
            <c:ext xmlns:c16="http://schemas.microsoft.com/office/drawing/2014/chart" uri="{C3380CC4-5D6E-409C-BE32-E72D297353CC}">
              <c16:uniqueId val="{00000000-5D0B-EC4B-A282-B5F45D212A80}"/>
            </c:ext>
          </c:extLst>
        </c:ser>
        <c:dLbls>
          <c:showLegendKey val="0"/>
          <c:showVal val="0"/>
          <c:showCatName val="0"/>
          <c:showSerName val="0"/>
          <c:showPercent val="0"/>
          <c:showBubbleSize val="0"/>
        </c:dLbls>
        <c:gapWidth val="219"/>
        <c:overlap val="-27"/>
        <c:axId val="1148834527"/>
        <c:axId val="1187740879"/>
      </c:barChart>
      <c:catAx>
        <c:axId val="11488345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87740879"/>
        <c:crosses val="autoZero"/>
        <c:auto val="1"/>
        <c:lblAlgn val="ctr"/>
        <c:lblOffset val="100"/>
        <c:noMultiLvlLbl val="0"/>
      </c:catAx>
      <c:valAx>
        <c:axId val="1187740879"/>
        <c:scaling>
          <c:orientation val="minMax"/>
        </c:scaling>
        <c:delete val="0"/>
        <c:axPos val="l"/>
        <c:majorGridlines>
          <c:spPr>
            <a:ln w="9525" cap="flat" cmpd="sng" algn="ctr">
              <a:solidFill>
                <a:schemeClr val="tx1">
                  <a:lumMod val="15000"/>
                  <a:lumOff val="85000"/>
                </a:schemeClr>
              </a:solidFill>
              <a:round/>
            </a:ln>
            <a:effectLst/>
          </c:spPr>
        </c:majorGridlines>
        <c:numFmt formatCode="_-* #\ ##0\ _k_r_-;\-* #\ ##0\ _k_r_-;_-* &quot;-&quot;\ _k_r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1488345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'2021.Q4'!$I$52:$I$55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91B9-5044-BA9E-304BDCD61E71}"/>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91B9-5044-BA9E-304BDCD61E71}"/>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91B9-5044-BA9E-304BDCD61E71}"/>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91B9-5044-BA9E-304BDCD61E7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'2021.Q4'!$I$52:$I$55</c:f>
              <c:strCache>
                <c:ptCount val="4"/>
                <c:pt idx="0">
                  <c:v>Likvida medel</c:v>
                </c:pt>
                <c:pt idx="1">
                  <c:v>Fonder och aktier</c:v>
                </c:pt>
                <c:pt idx="2">
                  <c:v>Fastigheter</c:v>
                </c:pt>
                <c:pt idx="3">
                  <c:v>Övrigt</c:v>
                </c:pt>
              </c:strCache>
            </c:strRef>
          </c:cat>
          <c:val>
            <c:numRef>
              <c:f>'2021.Q4'!$K$52:$K$55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08-91B9-5044-BA9E-304BDCD61E71}"/>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91B9-5044-BA9E-304BDCD61E71}"/>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91B9-5044-BA9E-304BDCD61E71}"/>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91B9-5044-BA9E-304BDCD61E71}"/>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91B9-5044-BA9E-304BDCD61E7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'2021.Q4'!$I$52:$I$55</c:f>
              <c:strCache>
                <c:ptCount val="4"/>
                <c:pt idx="0">
                  <c:v>Likvida medel</c:v>
                </c:pt>
                <c:pt idx="1">
                  <c:v>Fonder och aktier</c:v>
                </c:pt>
                <c:pt idx="2">
                  <c:v>Fastigheter</c:v>
                </c:pt>
                <c:pt idx="3">
                  <c:v>Övrigt</c:v>
                </c:pt>
              </c:strCache>
            </c:strRef>
          </c:cat>
          <c:val>
            <c:numRef>
              <c:f>'2021.Q4'!$K$52:$K$55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11-91B9-5044-BA9E-304BDCD61E7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'2021.Q4'!$I$57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14C2-244C-8B1A-EC1AD4E07C9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14C2-244C-8B1A-EC1AD4E07C9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'2021.Q4'!$I$57:$I$58</c:f>
              <c:strCache>
                <c:ptCount val="2"/>
                <c:pt idx="0">
                  <c:v>Fria tillgångar</c:v>
                </c:pt>
                <c:pt idx="1">
                  <c:v>Bundna tillgångar</c:v>
                </c:pt>
              </c:strCache>
            </c:strRef>
          </c:cat>
          <c:val>
            <c:numRef>
              <c:f>'2021.Q4'!$K$57:$K$58</c:f>
              <c:numCache>
                <c:formatCode>_-* #\ ##0\ _k_r_-;\-* #\ ##0\ _k_r_-;_-* "-"\ _k_r_-;_-@_-</c:formatCode>
                <c:ptCount val="2"/>
                <c:pt idx="0">
                  <c:v>0</c:v>
                </c:pt>
                <c:pt idx="1">
                  <c:v>0</c:v>
                </c:pt>
              </c:numCache>
            </c:numRef>
          </c:val>
          <c:extLst>
            <c:ext xmlns:c16="http://schemas.microsoft.com/office/drawing/2014/chart" uri="{C3380CC4-5D6E-409C-BE32-E72D297353CC}">
              <c16:uniqueId val="{00000004-14C2-244C-8B1A-EC1AD4E07C9D}"/>
            </c:ext>
          </c:extLst>
        </c:ser>
        <c:ser>
          <c:idx val="1"/>
          <c:order val="1"/>
          <c:tx>
            <c:strRef>
              <c:f>'2021.Q4'!$I$58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14C2-244C-8B1A-EC1AD4E07C9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14C2-244C-8B1A-EC1AD4E07C9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'2021.Q4'!$I$57:$I$58</c:f>
              <c:strCache>
                <c:ptCount val="2"/>
                <c:pt idx="0">
                  <c:v>Fria tillgångar</c:v>
                </c:pt>
                <c:pt idx="1">
                  <c:v>Bundna tillgångar</c:v>
                </c:pt>
              </c:strCache>
            </c:strRef>
          </c:cat>
          <c:val>
            <c:numRef>
              <c:f>'2021.Q4'!$J$58:$K$58</c:f>
              <c:numCache>
                <c:formatCode>_-* #\ ##0\ _k_r_-;\-* #\ ##0\ _k_r_-;_-* "-"\ _k_r_-;_-@_-</c:formatCode>
                <c:ptCount val="2"/>
                <c:pt idx="1">
                  <c:v>0</c:v>
                </c:pt>
              </c:numCache>
            </c:numRef>
          </c:val>
          <c:extLst>
            <c:ext xmlns:c16="http://schemas.microsoft.com/office/drawing/2014/chart" uri="{C3380CC4-5D6E-409C-BE32-E72D297353CC}">
              <c16:uniqueId val="{00000009-14C2-244C-8B1A-EC1AD4E07C9D}"/>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793-C745-AE00-B510A7268EF6}"/>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5793-C745-AE00-B510A7268EF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'2021.Q4'!$I$60:$I$61</c:f>
              <c:strCache>
                <c:ptCount val="2"/>
                <c:pt idx="0">
                  <c:v>Tillgångar</c:v>
                </c:pt>
                <c:pt idx="1">
                  <c:v>Skulder</c:v>
                </c:pt>
              </c:strCache>
            </c:strRef>
          </c:cat>
          <c:val>
            <c:numRef>
              <c:f>'2021.Q4'!$K$60:$K$61</c:f>
              <c:numCache>
                <c:formatCode>#\ ##0" kr";"-"#\ ##0" kr"</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5793-C745-AE00-B510A7268EF6}"/>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5793-C745-AE00-B510A7268EF6}"/>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5793-C745-AE00-B510A7268EF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'2021.Q4'!$I$60:$I$61</c:f>
              <c:strCache>
                <c:ptCount val="2"/>
                <c:pt idx="0">
                  <c:v>Tillgångar</c:v>
                </c:pt>
                <c:pt idx="1">
                  <c:v>Skulder</c:v>
                </c:pt>
              </c:strCache>
            </c:strRef>
          </c:cat>
          <c:val>
            <c:numRef>
              <c:f>'2021.Q4'!$K$60:$K$61</c:f>
              <c:numCache>
                <c:formatCode>#\ ##0" kr";"-"#\ ##0" kr"</c:formatCode>
                <c:ptCount val="2"/>
                <c:pt idx="0">
                  <c:v>0</c:v>
                </c:pt>
                <c:pt idx="1">
                  <c:v>0</c:v>
                </c:pt>
              </c:numCache>
            </c:numRef>
          </c:val>
          <c:extLst>
            <c:ext xmlns:c16="http://schemas.microsoft.com/office/drawing/2014/chart" uri="{C3380CC4-5D6E-409C-BE32-E72D297353CC}">
              <c16:uniqueId val="{00000009-5793-C745-AE00-B510A7268EF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'2021.Q3'!$I$52:$I$55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2CBB-DF48-867A-12154B9867AC}"/>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2CBB-DF48-867A-12154B9867AC}"/>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2CBB-DF48-867A-12154B9867AC}"/>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2CBB-DF48-867A-12154B9867A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'2021.Q3'!$I$52:$I$55</c:f>
              <c:strCache>
                <c:ptCount val="4"/>
                <c:pt idx="0">
                  <c:v>Likvida medel</c:v>
                </c:pt>
                <c:pt idx="1">
                  <c:v>Fonder och aktier</c:v>
                </c:pt>
                <c:pt idx="2">
                  <c:v>Fastigheter</c:v>
                </c:pt>
                <c:pt idx="3">
                  <c:v>Övrigt</c:v>
                </c:pt>
              </c:strCache>
            </c:strRef>
          </c:cat>
          <c:val>
            <c:numRef>
              <c:f>'2021.Q3'!$K$52:$K$55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08-2CBB-DF48-867A-12154B9867AC}"/>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2CBB-DF48-867A-12154B9867AC}"/>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2CBB-DF48-867A-12154B9867AC}"/>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2CBB-DF48-867A-12154B9867AC}"/>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2CBB-DF48-867A-12154B9867A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'2021.Q3'!$I$52:$I$55</c:f>
              <c:strCache>
                <c:ptCount val="4"/>
                <c:pt idx="0">
                  <c:v>Likvida medel</c:v>
                </c:pt>
                <c:pt idx="1">
                  <c:v>Fonder och aktier</c:v>
                </c:pt>
                <c:pt idx="2">
                  <c:v>Fastigheter</c:v>
                </c:pt>
                <c:pt idx="3">
                  <c:v>Övrigt</c:v>
                </c:pt>
              </c:strCache>
            </c:strRef>
          </c:cat>
          <c:val>
            <c:numRef>
              <c:f>'2021.Q3'!$K$52:$K$55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11-2CBB-DF48-867A-12154B9867AC}"/>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'2021.Q3'!$I$57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8D5F-404D-A0F9-A5F5617AAB14}"/>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8D5F-404D-A0F9-A5F5617AAB1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'2021.Q3'!$I$57:$I$58</c:f>
              <c:strCache>
                <c:ptCount val="2"/>
                <c:pt idx="0">
                  <c:v>Fria tillgångar</c:v>
                </c:pt>
                <c:pt idx="1">
                  <c:v>Bundna tillgångar</c:v>
                </c:pt>
              </c:strCache>
            </c:strRef>
          </c:cat>
          <c:val>
            <c:numRef>
              <c:f>'2021.Q3'!$K$57:$K$58</c:f>
              <c:numCache>
                <c:formatCode>_-* #\ ##0\ _k_r_-;\-* #\ ##0\ _k_r_-;_-* "-"\ _k_r_-;_-@_-</c:formatCode>
                <c:ptCount val="2"/>
                <c:pt idx="0">
                  <c:v>0</c:v>
                </c:pt>
                <c:pt idx="1">
                  <c:v>0</c:v>
                </c:pt>
              </c:numCache>
            </c:numRef>
          </c:val>
          <c:extLst>
            <c:ext xmlns:c16="http://schemas.microsoft.com/office/drawing/2014/chart" uri="{C3380CC4-5D6E-409C-BE32-E72D297353CC}">
              <c16:uniqueId val="{00000004-8D5F-404D-A0F9-A5F5617AAB14}"/>
            </c:ext>
          </c:extLst>
        </c:ser>
        <c:ser>
          <c:idx val="1"/>
          <c:order val="1"/>
          <c:tx>
            <c:strRef>
              <c:f>'2021.Q3'!$I$58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8D5F-404D-A0F9-A5F5617AAB14}"/>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8D5F-404D-A0F9-A5F5617AAB1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'2021.Q3'!$I$57:$I$58</c:f>
              <c:strCache>
                <c:ptCount val="2"/>
                <c:pt idx="0">
                  <c:v>Fria tillgångar</c:v>
                </c:pt>
                <c:pt idx="1">
                  <c:v>Bundna tillgångar</c:v>
                </c:pt>
              </c:strCache>
            </c:strRef>
          </c:cat>
          <c:val>
            <c:numRef>
              <c:f>'2021.Q3'!$J$58:$K$58</c:f>
              <c:numCache>
                <c:formatCode>_-* #\ ##0\ _k_r_-;\-* #\ ##0\ _k_r_-;_-* "-"\ _k_r_-;_-@_-</c:formatCode>
                <c:ptCount val="2"/>
                <c:pt idx="1">
                  <c:v>0</c:v>
                </c:pt>
              </c:numCache>
            </c:numRef>
          </c:val>
          <c:extLst>
            <c:ext xmlns:c16="http://schemas.microsoft.com/office/drawing/2014/chart" uri="{C3380CC4-5D6E-409C-BE32-E72D297353CC}">
              <c16:uniqueId val="{00000009-8D5F-404D-A0F9-A5F5617AAB14}"/>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727-7C48-A98A-290400F34C74}"/>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5727-7C48-A98A-290400F34C7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'2021.Q3'!$I$60:$I$61</c:f>
              <c:strCache>
                <c:ptCount val="2"/>
                <c:pt idx="0">
                  <c:v>Tillgångar</c:v>
                </c:pt>
                <c:pt idx="1">
                  <c:v>Skulder</c:v>
                </c:pt>
              </c:strCache>
            </c:strRef>
          </c:cat>
          <c:val>
            <c:numRef>
              <c:f>'2021.Q3'!$K$60:$K$61</c:f>
              <c:numCache>
                <c:formatCode>#\ ##0" kr";"-"#\ ##0" kr"</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5727-7C48-A98A-290400F34C74}"/>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5727-7C48-A98A-290400F34C74}"/>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5727-7C48-A98A-290400F34C7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'2021.Q3'!$I$60:$I$61</c:f>
              <c:strCache>
                <c:ptCount val="2"/>
                <c:pt idx="0">
                  <c:v>Tillgångar</c:v>
                </c:pt>
                <c:pt idx="1">
                  <c:v>Skulder</c:v>
                </c:pt>
              </c:strCache>
            </c:strRef>
          </c:cat>
          <c:val>
            <c:numRef>
              <c:f>'2021.Q3'!$K$60:$K$61</c:f>
              <c:numCache>
                <c:formatCode>#\ ##0" kr";"-"#\ ##0" kr"</c:formatCode>
                <c:ptCount val="2"/>
                <c:pt idx="0">
                  <c:v>0</c:v>
                </c:pt>
                <c:pt idx="1">
                  <c:v>0</c:v>
                </c:pt>
              </c:numCache>
            </c:numRef>
          </c:val>
          <c:extLst>
            <c:ext xmlns:c16="http://schemas.microsoft.com/office/drawing/2014/chart" uri="{C3380CC4-5D6E-409C-BE32-E72D297353CC}">
              <c16:uniqueId val="{00000009-5727-7C48-A98A-290400F34C74}"/>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'2021.Q2'!$I$52:$I$55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2ED8-0E42-9BD8-928901EEE6D6}"/>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2ED8-0E42-9BD8-928901EEE6D6}"/>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2ED8-0E42-9BD8-928901EEE6D6}"/>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2ED8-0E42-9BD8-928901EEE6D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'2021.Q2'!$I$52:$I$55</c:f>
              <c:strCache>
                <c:ptCount val="4"/>
                <c:pt idx="0">
                  <c:v>Likvida medel</c:v>
                </c:pt>
                <c:pt idx="1">
                  <c:v>Fonder och aktier</c:v>
                </c:pt>
                <c:pt idx="2">
                  <c:v>Fastigheter</c:v>
                </c:pt>
                <c:pt idx="3">
                  <c:v>Övrigt</c:v>
                </c:pt>
              </c:strCache>
            </c:strRef>
          </c:cat>
          <c:val>
            <c:numRef>
              <c:f>'2021.Q2'!$K$52:$K$55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08-2ED8-0E42-9BD8-928901EEE6D6}"/>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2ED8-0E42-9BD8-928901EEE6D6}"/>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2ED8-0E42-9BD8-928901EEE6D6}"/>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2ED8-0E42-9BD8-928901EEE6D6}"/>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2ED8-0E42-9BD8-928901EEE6D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'2021.Q2'!$I$52:$I$55</c:f>
              <c:strCache>
                <c:ptCount val="4"/>
                <c:pt idx="0">
                  <c:v>Likvida medel</c:v>
                </c:pt>
                <c:pt idx="1">
                  <c:v>Fonder och aktier</c:v>
                </c:pt>
                <c:pt idx="2">
                  <c:v>Fastigheter</c:v>
                </c:pt>
                <c:pt idx="3">
                  <c:v>Övrigt</c:v>
                </c:pt>
              </c:strCache>
            </c:strRef>
          </c:cat>
          <c:val>
            <c:numRef>
              <c:f>'2021.Q2'!$K$52:$K$55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11-2ED8-0E42-9BD8-928901EEE6D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'2021.Q2'!$I$57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83A6-D541-83E0-907635DDA50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83A6-D541-83E0-907635DDA50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'2021.Q2'!$I$57:$I$58</c:f>
              <c:strCache>
                <c:ptCount val="2"/>
                <c:pt idx="0">
                  <c:v>Fria tillgångar</c:v>
                </c:pt>
                <c:pt idx="1">
                  <c:v>Bundna tillgångar</c:v>
                </c:pt>
              </c:strCache>
            </c:strRef>
          </c:cat>
          <c:val>
            <c:numRef>
              <c:f>'2021.Q2'!$K$57:$K$58</c:f>
              <c:numCache>
                <c:formatCode>_-* #\ ##0\ _k_r_-;\-* #\ ##0\ _k_r_-;_-* "-"\ _k_r_-;_-@_-</c:formatCode>
                <c:ptCount val="2"/>
                <c:pt idx="0">
                  <c:v>0</c:v>
                </c:pt>
                <c:pt idx="1">
                  <c:v>0</c:v>
                </c:pt>
              </c:numCache>
            </c:numRef>
          </c:val>
          <c:extLst>
            <c:ext xmlns:c16="http://schemas.microsoft.com/office/drawing/2014/chart" uri="{C3380CC4-5D6E-409C-BE32-E72D297353CC}">
              <c16:uniqueId val="{00000004-83A6-D541-83E0-907635DDA50D}"/>
            </c:ext>
          </c:extLst>
        </c:ser>
        <c:ser>
          <c:idx val="1"/>
          <c:order val="1"/>
          <c:tx>
            <c:strRef>
              <c:f>'2021.Q2'!$I$58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83A6-D541-83E0-907635DDA50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83A6-D541-83E0-907635DDA50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'2021.Q2'!$I$57:$I$58</c:f>
              <c:strCache>
                <c:ptCount val="2"/>
                <c:pt idx="0">
                  <c:v>Fria tillgångar</c:v>
                </c:pt>
                <c:pt idx="1">
                  <c:v>Bundna tillgångar</c:v>
                </c:pt>
              </c:strCache>
            </c:strRef>
          </c:cat>
          <c:val>
            <c:numRef>
              <c:f>'2021.Q2'!$J$58:$K$58</c:f>
              <c:numCache>
                <c:formatCode>_-* #\ ##0\ _k_r_-;\-* #\ ##0\ _k_r_-;_-* "-"\ _k_r_-;_-@_-</c:formatCode>
                <c:ptCount val="2"/>
                <c:pt idx="1">
                  <c:v>0</c:v>
                </c:pt>
              </c:numCache>
            </c:numRef>
          </c:val>
          <c:extLst>
            <c:ext xmlns:c16="http://schemas.microsoft.com/office/drawing/2014/chart" uri="{C3380CC4-5D6E-409C-BE32-E72D297353CC}">
              <c16:uniqueId val="{00000009-83A6-D541-83E0-907635DDA50D}"/>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BE96-F74B-BD6D-E32CB4DD93D3}"/>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BE96-F74B-BD6D-E32CB4DD93D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'2021.Q2'!$I$60:$I$61</c:f>
              <c:strCache>
                <c:ptCount val="2"/>
                <c:pt idx="0">
                  <c:v>Tillgångar</c:v>
                </c:pt>
                <c:pt idx="1">
                  <c:v>Skulder</c:v>
                </c:pt>
              </c:strCache>
            </c:strRef>
          </c:cat>
          <c:val>
            <c:numRef>
              <c:f>'2021.Q2'!$K$60:$K$61</c:f>
              <c:numCache>
                <c:formatCode>#\ ##0" kr";"-"#\ ##0" kr"</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BE96-F74B-BD6D-E32CB4DD93D3}"/>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BE96-F74B-BD6D-E32CB4DD93D3}"/>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BE96-F74B-BD6D-E32CB4DD93D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'2021.Q2'!$I$60:$I$61</c:f>
              <c:strCache>
                <c:ptCount val="2"/>
                <c:pt idx="0">
                  <c:v>Tillgångar</c:v>
                </c:pt>
                <c:pt idx="1">
                  <c:v>Skulder</c:v>
                </c:pt>
              </c:strCache>
            </c:strRef>
          </c:cat>
          <c:val>
            <c:numRef>
              <c:f>'2021.Q2'!$K$60:$K$61</c:f>
              <c:numCache>
                <c:formatCode>#\ ##0" kr";"-"#\ ##0" kr"</c:formatCode>
                <c:ptCount val="2"/>
                <c:pt idx="0">
                  <c:v>0</c:v>
                </c:pt>
                <c:pt idx="1">
                  <c:v>0</c:v>
                </c:pt>
              </c:numCache>
            </c:numRef>
          </c:val>
          <c:extLst>
            <c:ext xmlns:c16="http://schemas.microsoft.com/office/drawing/2014/chart" uri="{C3380CC4-5D6E-409C-BE32-E72D297353CC}">
              <c16:uniqueId val="{00000009-BE96-F74B-BD6D-E32CB4DD93D3}"/>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'2021.Q1'!$I$52:$I$55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BF55-AE4B-B073-8701BF04B6B0}"/>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BF55-AE4B-B073-8701BF04B6B0}"/>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BF55-AE4B-B073-8701BF04B6B0}"/>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BF55-AE4B-B073-8701BF04B6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'2021.Q1'!$I$52:$I$55</c:f>
              <c:strCache>
                <c:ptCount val="4"/>
                <c:pt idx="0">
                  <c:v>Likvida medel</c:v>
                </c:pt>
                <c:pt idx="1">
                  <c:v>Fonder och aktier</c:v>
                </c:pt>
                <c:pt idx="2">
                  <c:v>Fastigheter</c:v>
                </c:pt>
                <c:pt idx="3">
                  <c:v>Övrigt</c:v>
                </c:pt>
              </c:strCache>
            </c:strRef>
          </c:cat>
          <c:val>
            <c:numRef>
              <c:f>'2021.Q1'!$K$52:$K$55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08-BF55-AE4B-B073-8701BF04B6B0}"/>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BF55-AE4B-B073-8701BF04B6B0}"/>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BF55-AE4B-B073-8701BF04B6B0}"/>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BF55-AE4B-B073-8701BF04B6B0}"/>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BF55-AE4B-B073-8701BF04B6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'2021.Q1'!$I$52:$I$55</c:f>
              <c:strCache>
                <c:ptCount val="4"/>
                <c:pt idx="0">
                  <c:v>Likvida medel</c:v>
                </c:pt>
                <c:pt idx="1">
                  <c:v>Fonder och aktier</c:v>
                </c:pt>
                <c:pt idx="2">
                  <c:v>Fastigheter</c:v>
                </c:pt>
                <c:pt idx="3">
                  <c:v>Övrigt</c:v>
                </c:pt>
              </c:strCache>
            </c:strRef>
          </c:cat>
          <c:val>
            <c:numRef>
              <c:f>'2021.Q1'!$K$52:$K$55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11-BF55-AE4B-B073-8701BF04B6B0}"/>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'2021.Q1'!$I$57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0B94-DE4D-ACB6-9601EAAE527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0B94-DE4D-ACB6-9601EAAE527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'2021.Q1'!$I$57:$I$58</c:f>
              <c:strCache>
                <c:ptCount val="2"/>
                <c:pt idx="0">
                  <c:v>Fria tillgångar</c:v>
                </c:pt>
                <c:pt idx="1">
                  <c:v>Bundna tillgångar</c:v>
                </c:pt>
              </c:strCache>
            </c:strRef>
          </c:cat>
          <c:val>
            <c:numRef>
              <c:f>'2021.Q1'!$K$57:$K$58</c:f>
              <c:numCache>
                <c:formatCode>_-* #\ ##0\ _k_r_-;\-* #\ ##0\ _k_r_-;_-* "-"\ _k_r_-;_-@_-</c:formatCode>
                <c:ptCount val="2"/>
                <c:pt idx="0">
                  <c:v>0</c:v>
                </c:pt>
                <c:pt idx="1">
                  <c:v>0</c:v>
                </c:pt>
              </c:numCache>
            </c:numRef>
          </c:val>
          <c:extLst>
            <c:ext xmlns:c16="http://schemas.microsoft.com/office/drawing/2014/chart" uri="{C3380CC4-5D6E-409C-BE32-E72D297353CC}">
              <c16:uniqueId val="{00000004-0B94-DE4D-ACB6-9601EAAE5277}"/>
            </c:ext>
          </c:extLst>
        </c:ser>
        <c:ser>
          <c:idx val="1"/>
          <c:order val="1"/>
          <c:tx>
            <c:strRef>
              <c:f>'2021.Q1'!$I$58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0B94-DE4D-ACB6-9601EAAE527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0B94-DE4D-ACB6-9601EAAE527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'2021.Q1'!$I$57:$I$58</c:f>
              <c:strCache>
                <c:ptCount val="2"/>
                <c:pt idx="0">
                  <c:v>Fria tillgångar</c:v>
                </c:pt>
                <c:pt idx="1">
                  <c:v>Bundna tillgångar</c:v>
                </c:pt>
              </c:strCache>
            </c:strRef>
          </c:cat>
          <c:val>
            <c:numRef>
              <c:f>'2021.Q1'!$J$58:$K$58</c:f>
              <c:numCache>
                <c:formatCode>_-* #\ ##0\ _k_r_-;\-* #\ ##0\ _k_r_-;_-* "-"\ _k_r_-;_-@_-</c:formatCode>
                <c:ptCount val="2"/>
                <c:pt idx="1">
                  <c:v>0</c:v>
                </c:pt>
              </c:numCache>
            </c:numRef>
          </c:val>
          <c:extLst>
            <c:ext xmlns:c16="http://schemas.microsoft.com/office/drawing/2014/chart" uri="{C3380CC4-5D6E-409C-BE32-E72D297353CC}">
              <c16:uniqueId val="{00000009-0B94-DE4D-ACB6-9601EAAE5277}"/>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74BB-104C-8020-993D9D9A401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74BB-104C-8020-993D9D9A401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'2021.Q1'!$I$60:$I$61</c:f>
              <c:strCache>
                <c:ptCount val="2"/>
                <c:pt idx="0">
                  <c:v>Tillgångar</c:v>
                </c:pt>
                <c:pt idx="1">
                  <c:v>Skulder</c:v>
                </c:pt>
              </c:strCache>
            </c:strRef>
          </c:cat>
          <c:val>
            <c:numRef>
              <c:f>'2021.Q1'!$K$60:$K$61</c:f>
              <c:numCache>
                <c:formatCode>#\ ##0" kr";"-"#\ ##0" kr"</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74BB-104C-8020-993D9D9A4015}"/>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74BB-104C-8020-993D9D9A401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74BB-104C-8020-993D9D9A401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'2021.Q1'!$I$60:$I$61</c:f>
              <c:strCache>
                <c:ptCount val="2"/>
                <c:pt idx="0">
                  <c:v>Tillgångar</c:v>
                </c:pt>
                <c:pt idx="1">
                  <c:v>Skulder</c:v>
                </c:pt>
              </c:strCache>
            </c:strRef>
          </c:cat>
          <c:val>
            <c:numRef>
              <c:f>'2021.Q1'!$K$60:$K$61</c:f>
              <c:numCache>
                <c:formatCode>#\ ##0" kr";"-"#\ ##0" kr"</c:formatCode>
                <c:ptCount val="2"/>
                <c:pt idx="0">
                  <c:v>0</c:v>
                </c:pt>
                <c:pt idx="1">
                  <c:v>0</c:v>
                </c:pt>
              </c:numCache>
            </c:numRef>
          </c:val>
          <c:extLst>
            <c:ext xmlns:c16="http://schemas.microsoft.com/office/drawing/2014/chart" uri="{C3380CC4-5D6E-409C-BE32-E72D297353CC}">
              <c16:uniqueId val="{00000009-74BB-104C-8020-993D9D9A401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'2020.Q4'!$I$52:$I$55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F280-5A4E-A70C-06D3994942C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F280-5A4E-A70C-06D3994942C7}"/>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F280-5A4E-A70C-06D3994942C7}"/>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F280-5A4E-A70C-06D3994942C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'2020.Q4'!$I$52:$I$55</c:f>
              <c:strCache>
                <c:ptCount val="4"/>
                <c:pt idx="0">
                  <c:v>Likvida medel</c:v>
                </c:pt>
                <c:pt idx="1">
                  <c:v>Fonder och aktier</c:v>
                </c:pt>
                <c:pt idx="2">
                  <c:v>Fastigheter</c:v>
                </c:pt>
                <c:pt idx="3">
                  <c:v>Övrigt</c:v>
                </c:pt>
              </c:strCache>
            </c:strRef>
          </c:cat>
          <c:val>
            <c:numRef>
              <c:f>'2020.Q4'!$K$52:$K$55</c:f>
              <c:numCache>
                <c:formatCode>_-* #\ ##0\ _k_r_-;\-* #\ ##0\ _k_r_-;_-* "-"\ _k_r_-;_-@_-</c:formatCode>
                <c:ptCount val="4"/>
                <c:pt idx="0">
                  <c:v>17710</c:v>
                </c:pt>
                <c:pt idx="1">
                  <c:v>230000</c:v>
                </c:pt>
                <c:pt idx="2">
                  <c:v>490000</c:v>
                </c:pt>
                <c:pt idx="3">
                  <c:v>5000</c:v>
                </c:pt>
              </c:numCache>
            </c:numRef>
          </c:val>
          <c:extLst>
            <c:ext xmlns:c16="http://schemas.microsoft.com/office/drawing/2014/chart" uri="{C3380CC4-5D6E-409C-BE32-E72D297353CC}">
              <c16:uniqueId val="{00000008-F280-5A4E-A70C-06D3994942C7}"/>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F280-5A4E-A70C-06D3994942C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F280-5A4E-A70C-06D3994942C7}"/>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F280-5A4E-A70C-06D3994942C7}"/>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F280-5A4E-A70C-06D3994942C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'2020.Q4'!$I$52:$I$55</c:f>
              <c:strCache>
                <c:ptCount val="4"/>
                <c:pt idx="0">
                  <c:v>Likvida medel</c:v>
                </c:pt>
                <c:pt idx="1">
                  <c:v>Fonder och aktier</c:v>
                </c:pt>
                <c:pt idx="2">
                  <c:v>Fastigheter</c:v>
                </c:pt>
                <c:pt idx="3">
                  <c:v>Övrigt</c:v>
                </c:pt>
              </c:strCache>
            </c:strRef>
          </c:cat>
          <c:val>
            <c:numRef>
              <c:f>'2020.Q4'!$K$52:$K$55</c:f>
              <c:numCache>
                <c:formatCode>_-* #\ ##0\ _k_r_-;\-* #\ ##0\ _k_r_-;_-* "-"\ _k_r_-;_-@_-</c:formatCode>
                <c:ptCount val="4"/>
                <c:pt idx="0">
                  <c:v>17710</c:v>
                </c:pt>
                <c:pt idx="1">
                  <c:v>230000</c:v>
                </c:pt>
                <c:pt idx="2">
                  <c:v>490000</c:v>
                </c:pt>
                <c:pt idx="3">
                  <c:v>5000</c:v>
                </c:pt>
              </c:numCache>
            </c:numRef>
          </c:val>
          <c:extLst>
            <c:ext xmlns:c16="http://schemas.microsoft.com/office/drawing/2014/chart" uri="{C3380CC4-5D6E-409C-BE32-E72D297353CC}">
              <c16:uniqueId val="{00000011-F280-5A4E-A70C-06D3994942C7}"/>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'2020.Q4'!$I$57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2F3C-7A48-9AD9-03D50DF7FA2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2F3C-7A48-9AD9-03D50DF7FA2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'2020.Q4'!$I$57:$I$58</c:f>
              <c:strCache>
                <c:ptCount val="2"/>
                <c:pt idx="0">
                  <c:v>Fria tillgångar</c:v>
                </c:pt>
                <c:pt idx="1">
                  <c:v>Bundna tillgångar</c:v>
                </c:pt>
              </c:strCache>
            </c:strRef>
          </c:cat>
          <c:val>
            <c:numRef>
              <c:f>'2020.Q4'!$K$57:$K$58</c:f>
              <c:numCache>
                <c:formatCode>_-* #\ ##0\ _k_r_-;\-* #\ ##0\ _k_r_-;_-* "-"\ _k_r_-;_-@_-</c:formatCode>
                <c:ptCount val="2"/>
                <c:pt idx="0">
                  <c:v>102710</c:v>
                </c:pt>
                <c:pt idx="1">
                  <c:v>640000</c:v>
                </c:pt>
              </c:numCache>
            </c:numRef>
          </c:val>
          <c:extLst>
            <c:ext xmlns:c16="http://schemas.microsoft.com/office/drawing/2014/chart" uri="{C3380CC4-5D6E-409C-BE32-E72D297353CC}">
              <c16:uniqueId val="{00000004-2F3C-7A48-9AD9-03D50DF7FA27}"/>
            </c:ext>
          </c:extLst>
        </c:ser>
        <c:ser>
          <c:idx val="1"/>
          <c:order val="1"/>
          <c:tx>
            <c:strRef>
              <c:f>'2020.Q4'!$I$58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2F3C-7A48-9AD9-03D50DF7FA27}"/>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2F3C-7A48-9AD9-03D50DF7FA2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'2020.Q4'!$I$57:$I$58</c:f>
              <c:strCache>
                <c:ptCount val="2"/>
                <c:pt idx="0">
                  <c:v>Fria tillgångar</c:v>
                </c:pt>
                <c:pt idx="1">
                  <c:v>Bundna tillgångar</c:v>
                </c:pt>
              </c:strCache>
            </c:strRef>
          </c:cat>
          <c:val>
            <c:numRef>
              <c:f>'2020.Q4'!$J$58:$K$58</c:f>
              <c:numCache>
                <c:formatCode>_-* #\ ##0\ _k_r_-;\-* #\ ##0\ _k_r_-;_-* "-"\ _k_r_-;_-@_-</c:formatCode>
                <c:ptCount val="2"/>
                <c:pt idx="1">
                  <c:v>640000</c:v>
                </c:pt>
              </c:numCache>
            </c:numRef>
          </c:val>
          <c:extLst>
            <c:ext xmlns:c16="http://schemas.microsoft.com/office/drawing/2014/chart" uri="{C3380CC4-5D6E-409C-BE32-E72D297353CC}">
              <c16:uniqueId val="{00000009-2F3C-7A48-9AD9-03D50DF7FA27}"/>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D92E-3041-9785-F6060E6676F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D92E-3041-9785-F6060E6676F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'2020.Q4'!$I$60:$I$61</c:f>
              <c:strCache>
                <c:ptCount val="2"/>
                <c:pt idx="0">
                  <c:v>Tillgångar</c:v>
                </c:pt>
                <c:pt idx="1">
                  <c:v>Skulder</c:v>
                </c:pt>
              </c:strCache>
            </c:strRef>
          </c:cat>
          <c:val>
            <c:numRef>
              <c:f>'2020.Q4'!$K$60:$K$61</c:f>
              <c:numCache>
                <c:formatCode>#\ ##0" kr";"-"#\ ##0" kr"</c:formatCode>
                <c:ptCount val="2"/>
                <c:pt idx="0">
                  <c:v>3252710</c:v>
                </c:pt>
                <c:pt idx="1">
                  <c:v>2510000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D92E-3041-9785-F6060E6676F5}"/>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D92E-3041-9785-F6060E6676F5}"/>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D92E-3041-9785-F6060E6676F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'2020.Q4'!$I$60:$I$61</c:f>
              <c:strCache>
                <c:ptCount val="2"/>
                <c:pt idx="0">
                  <c:v>Tillgångar</c:v>
                </c:pt>
                <c:pt idx="1">
                  <c:v>Skulder</c:v>
                </c:pt>
              </c:strCache>
            </c:strRef>
          </c:cat>
          <c:val>
            <c:numRef>
              <c:f>'2020.Q4'!$K$60:$K$61</c:f>
              <c:numCache>
                <c:formatCode>#\ ##0" kr";"-"#\ ##0" kr"</c:formatCode>
                <c:ptCount val="2"/>
                <c:pt idx="0">
                  <c:v>3252710</c:v>
                </c:pt>
                <c:pt idx="1">
                  <c:v>2510000</c:v>
                </c:pt>
              </c:numCache>
            </c:numRef>
          </c:val>
          <c:extLst>
            <c:ext xmlns:c16="http://schemas.microsoft.com/office/drawing/2014/chart" uri="{C3380CC4-5D6E-409C-BE32-E72D297353CC}">
              <c16:uniqueId val="{00000009-D92E-3041-9785-F6060E6676F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Tillgångsfördelning</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MALL!$I$52:$I$55</c:f>
              <c:strCache>
                <c:ptCount val="4"/>
                <c:pt idx="0">
                  <c:v>Likvida medel</c:v>
                </c:pt>
                <c:pt idx="1">
                  <c:v>Fonder och aktier</c:v>
                </c:pt>
                <c:pt idx="2">
                  <c:v>Fastigheter</c:v>
                </c:pt>
                <c:pt idx="3">
                  <c:v>Övrigt</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F6F8-984B-9286-C74D240F1D26}"/>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F6F8-984B-9286-C74D240F1D26}"/>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F6F8-984B-9286-C74D240F1D26}"/>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F6F8-984B-9286-C74D240F1D2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MALL!$I$52:$I$55</c:f>
              <c:strCache>
                <c:ptCount val="4"/>
                <c:pt idx="0">
                  <c:v>Likvida medel</c:v>
                </c:pt>
                <c:pt idx="1">
                  <c:v>Fonder och aktier</c:v>
                </c:pt>
                <c:pt idx="2">
                  <c:v>Fastigheter</c:v>
                </c:pt>
                <c:pt idx="3">
                  <c:v>Övrigt</c:v>
                </c:pt>
              </c:strCache>
            </c:strRef>
          </c:cat>
          <c:val>
            <c:numRef>
              <c:f>MALL!$K$52:$K$55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08-F6F8-984B-9286-C74D240F1D26}"/>
            </c:ext>
          </c:extLst>
        </c:ser>
        <c:ser>
          <c:idx val="1"/>
          <c:order val="1"/>
          <c:dPt>
            <c:idx val="0"/>
            <c:bubble3D val="0"/>
            <c:spPr>
              <a:solidFill>
                <a:schemeClr val="accent6"/>
              </a:solidFill>
              <a:ln w="19050">
                <a:solidFill>
                  <a:schemeClr val="lt1"/>
                </a:solidFill>
              </a:ln>
              <a:effectLst/>
            </c:spPr>
            <c:extLst>
              <c:ext xmlns:c16="http://schemas.microsoft.com/office/drawing/2014/chart" uri="{C3380CC4-5D6E-409C-BE32-E72D297353CC}">
                <c16:uniqueId val="{0000000A-F6F8-984B-9286-C74D240F1D26}"/>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C-F6F8-984B-9286-C74D240F1D26}"/>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E-F6F8-984B-9286-C74D240F1D26}"/>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0-F6F8-984B-9286-C74D240F1D2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MALL!$I$52:$I$55</c:f>
              <c:strCache>
                <c:ptCount val="4"/>
                <c:pt idx="0">
                  <c:v>Likvida medel</c:v>
                </c:pt>
                <c:pt idx="1">
                  <c:v>Fonder och aktier</c:v>
                </c:pt>
                <c:pt idx="2">
                  <c:v>Fastigheter</c:v>
                </c:pt>
                <c:pt idx="3">
                  <c:v>Övrigt</c:v>
                </c:pt>
              </c:strCache>
            </c:strRef>
          </c:cat>
          <c:val>
            <c:numRef>
              <c:f>MALL!$K$52:$K$55</c:f>
              <c:numCache>
                <c:formatCode>_-* #\ ##0\ _k_r_-;\-* #\ ##0\ _k_r_-;_-* "-"\ _k_r_-;_-@_-</c:formatCode>
                <c:ptCount val="4"/>
                <c:pt idx="0">
                  <c:v>0</c:v>
                </c:pt>
                <c:pt idx="1">
                  <c:v>0</c:v>
                </c:pt>
                <c:pt idx="2">
                  <c:v>0</c:v>
                </c:pt>
                <c:pt idx="3">
                  <c:v>0</c:v>
                </c:pt>
              </c:numCache>
            </c:numRef>
          </c:val>
          <c:extLst>
            <c:ext xmlns:c16="http://schemas.microsoft.com/office/drawing/2014/chart" uri="{C3380CC4-5D6E-409C-BE32-E72D297353CC}">
              <c16:uniqueId val="{00000011-F6F8-984B-9286-C74D240F1D2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Fria vs bundna tillgångar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tx>
            <c:strRef>
              <c:f>MALL!$I$57</c:f>
              <c:strCache>
                <c:ptCount val="1"/>
                <c:pt idx="0">
                  <c:v>Fria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7C29-874D-9B79-45250A1972D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7C29-874D-9B79-45250A1972D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MALL!$I$57:$I$58</c:f>
              <c:strCache>
                <c:ptCount val="2"/>
                <c:pt idx="0">
                  <c:v>Fria tillgångar</c:v>
                </c:pt>
                <c:pt idx="1">
                  <c:v>Bundna tillgångar</c:v>
                </c:pt>
              </c:strCache>
            </c:strRef>
          </c:cat>
          <c:val>
            <c:numRef>
              <c:f>MALL!$K$57:$K$58</c:f>
              <c:numCache>
                <c:formatCode>_-* #\ ##0\ _k_r_-;\-* #\ ##0\ _k_r_-;_-* "-"\ _k_r_-;_-@_-</c:formatCode>
                <c:ptCount val="2"/>
                <c:pt idx="0">
                  <c:v>0</c:v>
                </c:pt>
                <c:pt idx="1">
                  <c:v>0</c:v>
                </c:pt>
              </c:numCache>
            </c:numRef>
          </c:val>
          <c:extLst>
            <c:ext xmlns:c16="http://schemas.microsoft.com/office/drawing/2014/chart" uri="{C3380CC4-5D6E-409C-BE32-E72D297353CC}">
              <c16:uniqueId val="{00000004-7C29-874D-9B79-45250A1972DD}"/>
            </c:ext>
          </c:extLst>
        </c:ser>
        <c:ser>
          <c:idx val="1"/>
          <c:order val="1"/>
          <c:tx>
            <c:strRef>
              <c:f>MALL!$I$58</c:f>
              <c:strCache>
                <c:ptCount val="1"/>
                <c:pt idx="0">
                  <c:v>Bundna tillgångar</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6-7C29-874D-9B79-45250A1972DD}"/>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8-7C29-874D-9B79-45250A1972D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MALL!$I$57:$I$58</c:f>
              <c:strCache>
                <c:ptCount val="2"/>
                <c:pt idx="0">
                  <c:v>Fria tillgångar</c:v>
                </c:pt>
                <c:pt idx="1">
                  <c:v>Bundna tillgångar</c:v>
                </c:pt>
              </c:strCache>
            </c:strRef>
          </c:cat>
          <c:val>
            <c:numRef>
              <c:f>MALL!$J$58:$K$58</c:f>
              <c:numCache>
                <c:formatCode>_-* #\ ##0\ _k_r_-;\-* #\ ##0\ _k_r_-;_-* "-"\ _k_r_-;_-@_-</c:formatCode>
                <c:ptCount val="2"/>
                <c:pt idx="1">
                  <c:v>0</c:v>
                </c:pt>
              </c:numCache>
            </c:numRef>
          </c:val>
          <c:extLst>
            <c:ext xmlns:c16="http://schemas.microsoft.com/office/drawing/2014/chart" uri="{C3380CC4-5D6E-409C-BE32-E72D297353CC}">
              <c16:uniqueId val="{00000009-7C29-874D-9B79-45250A1972DD}"/>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Tillgångar vs skulder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F6E-BD45-A81A-F99F418E9CCF}"/>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3-AF6E-BD45-A81A-F99F418E9CC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MALL!$I$60:$I$61</c:f>
              <c:strCache>
                <c:ptCount val="2"/>
                <c:pt idx="0">
                  <c:v>Tillgångar</c:v>
                </c:pt>
                <c:pt idx="1">
                  <c:v>Skulder</c:v>
                </c:pt>
              </c:strCache>
            </c:strRef>
          </c:cat>
          <c:val>
            <c:numRef>
              <c:f>MALL!$K$60:$K$61</c:f>
              <c:numCache>
                <c:formatCode>#\ ##0" kr";"-"#\ ##0" kr"</c:formatCode>
                <c:ptCount val="2"/>
                <c:pt idx="0">
                  <c:v>0</c:v>
                </c:pt>
                <c:pt idx="1">
                  <c:v>0</c:v>
                </c:pt>
              </c:numCache>
            </c:numRef>
          </c:val>
          <c:extLst>
            <c:ext xmlns:c15="http://schemas.microsoft.com/office/drawing/2012/chart" uri="{02D57815-91ED-43cb-92C2-25804820EDAC}">
              <c15:filteredSeriesTitle>
                <c15:tx>
                  <c:strRef>
                    <c:extLst>
                      <c:ext uri="{02D57815-91ED-43cb-92C2-25804820EDAC}">
                        <c15:formulaRef>
                          <c15:sqref>'2020.Q4'!#REF!</c15:sqref>
                        </c15:formulaRef>
                      </c:ext>
                    </c:extLst>
                    <c:strCache>
                      <c:ptCount val="1"/>
                      <c:pt idx="0">
                        <c:v>#REF!</c:v>
                      </c:pt>
                    </c:strCache>
                  </c:strRef>
                </c15:tx>
              </c15:filteredSeriesTitle>
            </c:ext>
            <c:ext xmlns:c16="http://schemas.microsoft.com/office/drawing/2014/chart" uri="{C3380CC4-5D6E-409C-BE32-E72D297353CC}">
              <c16:uniqueId val="{00000004-AF6E-BD45-A81A-F99F418E9CCF}"/>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6-AF6E-BD45-A81A-F99F418E9CCF}"/>
              </c:ext>
            </c:extLst>
          </c:dPt>
          <c:dPt>
            <c:idx val="1"/>
            <c:bubble3D val="0"/>
            <c:spPr>
              <a:solidFill>
                <a:schemeClr val="accent3"/>
              </a:solidFill>
              <a:ln w="19050">
                <a:solidFill>
                  <a:schemeClr val="lt1"/>
                </a:solidFill>
              </a:ln>
              <a:effectLst/>
            </c:spPr>
            <c:extLst>
              <c:ext xmlns:c16="http://schemas.microsoft.com/office/drawing/2014/chart" uri="{C3380CC4-5D6E-409C-BE32-E72D297353CC}">
                <c16:uniqueId val="{00000008-AF6E-BD45-A81A-F99F418E9CC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MALL!$I$60:$I$61</c:f>
              <c:strCache>
                <c:ptCount val="2"/>
                <c:pt idx="0">
                  <c:v>Tillgångar</c:v>
                </c:pt>
                <c:pt idx="1">
                  <c:v>Skulder</c:v>
                </c:pt>
              </c:strCache>
            </c:strRef>
          </c:cat>
          <c:val>
            <c:numRef>
              <c:f>MALL!$K$60:$K$61</c:f>
              <c:numCache>
                <c:formatCode>#\ ##0" kr";"-"#\ ##0" kr"</c:formatCode>
                <c:ptCount val="2"/>
                <c:pt idx="0">
                  <c:v>0</c:v>
                </c:pt>
                <c:pt idx="1">
                  <c:v>0</c:v>
                </c:pt>
              </c:numCache>
            </c:numRef>
          </c:val>
          <c:extLst>
            <c:ext xmlns:c16="http://schemas.microsoft.com/office/drawing/2014/chart" uri="{C3380CC4-5D6E-409C-BE32-E72D297353CC}">
              <c16:uniqueId val="{00000009-AF6E-BD45-A81A-F99F418E9CCF}"/>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withinLinearReversed" id="26">
  <a:schemeClr val="accent6"/>
</cs:colorStyle>
</file>

<file path=xl/charts/colors5.xml><?xml version="1.0" encoding="utf-8"?>
<cs:colorStyle xmlns:cs="http://schemas.microsoft.com/office/drawing/2012/chartStyle" xmlns:a="http://schemas.openxmlformats.org/drawingml/2006/main" meth="withinLinearReversed" id="24">
  <a:schemeClr val="accent4"/>
</cs:colorStyle>
</file>

<file path=xl/charts/colors6.xml><?xml version="1.0" encoding="utf-8"?>
<cs:colorStyle xmlns:cs="http://schemas.microsoft.com/office/drawing/2012/chartStyle" xmlns:a="http://schemas.openxmlformats.org/drawingml/2006/main" meth="withinLinearReversed" id="25">
  <a:schemeClr val="accent5"/>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withinLinearReversed" id="26">
  <a:schemeClr val="accent6"/>
</cs:colorStyle>
</file>

<file path=xl/charts/colors11.xml><?xml version="1.0" encoding="utf-8"?>
<cs:colorStyle xmlns:cs="http://schemas.microsoft.com/office/drawing/2012/chartStyle" xmlns:a="http://schemas.openxmlformats.org/drawingml/2006/main" meth="withinLinearReversed" id="24">
  <a:schemeClr val="accent4"/>
</cs:colorStyle>
</file>

<file path=xl/charts/colors12.xml><?xml version="1.0" encoding="utf-8"?>
<cs:colorStyle xmlns:cs="http://schemas.microsoft.com/office/drawing/2012/chartStyle" xmlns:a="http://schemas.openxmlformats.org/drawingml/2006/main" meth="withinLinearReversed" id="25">
  <a:schemeClr val="accent5"/>
</cs:colorStyle>
</file>

<file path=xl/charts/colors1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31">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31">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6" Type="http://schemas.openxmlformats.org/officeDocument/2006/relationships/chart" Target="../charts/chart12.xml"/><Relationship Id="rId5" Type="http://schemas.openxmlformats.org/officeDocument/2006/relationships/chart" Target="../charts/chart11.xml"/><Relationship Id="rId4" Type="http://schemas.openxmlformats.org/officeDocument/2006/relationships/chart" Target="../charts/chart10.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chart" Target="../charts/chart14.xml"/><Relationship Id="rId1" Type="http://schemas.openxmlformats.org/officeDocument/2006/relationships/chart" Target="../charts/chart1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8.xml"/><Relationship Id="rId2" Type="http://schemas.openxmlformats.org/officeDocument/2006/relationships/chart" Target="../charts/chart17.xml"/><Relationship Id="rId1" Type="http://schemas.openxmlformats.org/officeDocument/2006/relationships/chart" Target="../charts/chart16.xml"/></Relationships>
</file>

<file path=xl/drawings/_rels/drawing5.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4.xml"/><Relationship Id="rId2" Type="http://schemas.openxmlformats.org/officeDocument/2006/relationships/chart" Target="../charts/chart23.xml"/><Relationship Id="rId1" Type="http://schemas.openxmlformats.org/officeDocument/2006/relationships/chart" Target="../charts/chart2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7.xml"/><Relationship Id="rId2" Type="http://schemas.openxmlformats.org/officeDocument/2006/relationships/chart" Target="../charts/chart26.xml"/><Relationship Id="rId1" Type="http://schemas.openxmlformats.org/officeDocument/2006/relationships/chart" Target="../charts/chart2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30.xml"/><Relationship Id="rId2" Type="http://schemas.openxmlformats.org/officeDocument/2006/relationships/chart" Target="../charts/chart29.xml"/><Relationship Id="rId1" Type="http://schemas.openxmlformats.org/officeDocument/2006/relationships/chart" Target="../charts/chart28.xml"/></Relationships>
</file>

<file path=xl/drawings/drawing1.xml><?xml version="1.0" encoding="utf-8"?>
<xdr:wsDr xmlns:xdr="http://schemas.openxmlformats.org/drawingml/2006/spreadsheetDrawing" xmlns:a="http://schemas.openxmlformats.org/drawingml/2006/main">
  <xdr:twoCellAnchor>
    <xdr:from>
      <xdr:col>0</xdr:col>
      <xdr:colOff>22469</xdr:colOff>
      <xdr:row>4</xdr:row>
      <xdr:rowOff>0</xdr:rowOff>
    </xdr:from>
    <xdr:to>
      <xdr:col>6</xdr:col>
      <xdr:colOff>801076</xdr:colOff>
      <xdr:row>17</xdr:row>
      <xdr:rowOff>201247</xdr:rowOff>
    </xdr:to>
    <xdr:graphicFrame macro="">
      <xdr:nvGraphicFramePr>
        <xdr:cNvPr id="2" name="Diagram 1">
          <a:extLst>
            <a:ext uri="{FF2B5EF4-FFF2-40B4-BE49-F238E27FC236}">
              <a16:creationId xmlns:a16="http://schemas.microsoft.com/office/drawing/2014/main" id="{67DBD38F-96DA-4F49-BEB0-117AD7ABC3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27353</xdr:colOff>
      <xdr:row>19</xdr:row>
      <xdr:rowOff>9769</xdr:rowOff>
    </xdr:from>
    <xdr:to>
      <xdr:col>6</xdr:col>
      <xdr:colOff>810846</xdr:colOff>
      <xdr:row>32</xdr:row>
      <xdr:rowOff>204177</xdr:rowOff>
    </xdr:to>
    <xdr:graphicFrame macro="">
      <xdr:nvGraphicFramePr>
        <xdr:cNvPr id="3" name="Diagram 2">
          <a:extLst>
            <a:ext uri="{FF2B5EF4-FFF2-40B4-BE49-F238E27FC236}">
              <a16:creationId xmlns:a16="http://schemas.microsoft.com/office/drawing/2014/main" id="{155BA6A6-D00E-B04C-A144-3796DFC291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35170</xdr:colOff>
      <xdr:row>19</xdr:row>
      <xdr:rowOff>11723</xdr:rowOff>
    </xdr:from>
    <xdr:to>
      <xdr:col>13</xdr:col>
      <xdr:colOff>810846</xdr:colOff>
      <xdr:row>33</xdr:row>
      <xdr:rowOff>9769</xdr:rowOff>
    </xdr:to>
    <xdr:graphicFrame macro="">
      <xdr:nvGraphicFramePr>
        <xdr:cNvPr id="4" name="Diagram 3">
          <a:extLst>
            <a:ext uri="{FF2B5EF4-FFF2-40B4-BE49-F238E27FC236}">
              <a16:creationId xmlns:a16="http://schemas.microsoft.com/office/drawing/2014/main" id="{BC010023-F68E-BF49-9CF7-B08B1E8322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39077</xdr:colOff>
      <xdr:row>4</xdr:row>
      <xdr:rowOff>9770</xdr:rowOff>
    </xdr:from>
    <xdr:to>
      <xdr:col>13</xdr:col>
      <xdr:colOff>810846</xdr:colOff>
      <xdr:row>18</xdr:row>
      <xdr:rowOff>9770</xdr:rowOff>
    </xdr:to>
    <xdr:graphicFrame macro="">
      <xdr:nvGraphicFramePr>
        <xdr:cNvPr id="5" name="Diagram 4">
          <a:extLst>
            <a:ext uri="{FF2B5EF4-FFF2-40B4-BE49-F238E27FC236}">
              <a16:creationId xmlns:a16="http://schemas.microsoft.com/office/drawing/2014/main" id="{7FA9B39F-1569-EE41-86DC-7385ABEF68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40054</xdr:colOff>
      <xdr:row>34</xdr:row>
      <xdr:rowOff>0</xdr:rowOff>
    </xdr:from>
    <xdr:to>
      <xdr:col>6</xdr:col>
      <xdr:colOff>801077</xdr:colOff>
      <xdr:row>47</xdr:row>
      <xdr:rowOff>170960</xdr:rowOff>
    </xdr:to>
    <xdr:graphicFrame macro="">
      <xdr:nvGraphicFramePr>
        <xdr:cNvPr id="6" name="Diagram 5">
          <a:extLst>
            <a:ext uri="{FF2B5EF4-FFF2-40B4-BE49-F238E27FC236}">
              <a16:creationId xmlns:a16="http://schemas.microsoft.com/office/drawing/2014/main" id="{D9976673-2AF2-8243-A5AD-9A980EE73D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39077</xdr:colOff>
      <xdr:row>33</xdr:row>
      <xdr:rowOff>205153</xdr:rowOff>
    </xdr:from>
    <xdr:to>
      <xdr:col>13</xdr:col>
      <xdr:colOff>791308</xdr:colOff>
      <xdr:row>47</xdr:row>
      <xdr:rowOff>166076</xdr:rowOff>
    </xdr:to>
    <xdr:graphicFrame macro="">
      <xdr:nvGraphicFramePr>
        <xdr:cNvPr id="7" name="Diagram 6">
          <a:extLst>
            <a:ext uri="{FF2B5EF4-FFF2-40B4-BE49-F238E27FC236}">
              <a16:creationId xmlns:a16="http://schemas.microsoft.com/office/drawing/2014/main" id="{4A0A0585-ECC2-0E44-B314-643C15BE6F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22469</xdr:colOff>
      <xdr:row>4</xdr:row>
      <xdr:rowOff>0</xdr:rowOff>
    </xdr:from>
    <xdr:to>
      <xdr:col>6</xdr:col>
      <xdr:colOff>801076</xdr:colOff>
      <xdr:row>17</xdr:row>
      <xdr:rowOff>201247</xdr:rowOff>
    </xdr:to>
    <xdr:graphicFrame macro="">
      <xdr:nvGraphicFramePr>
        <xdr:cNvPr id="2" name="Diagram 1">
          <a:extLst>
            <a:ext uri="{FF2B5EF4-FFF2-40B4-BE49-F238E27FC236}">
              <a16:creationId xmlns:a16="http://schemas.microsoft.com/office/drawing/2014/main" id="{B2F41EAA-BD53-4745-9D0A-61F41F6E60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27353</xdr:colOff>
      <xdr:row>19</xdr:row>
      <xdr:rowOff>9769</xdr:rowOff>
    </xdr:from>
    <xdr:to>
      <xdr:col>6</xdr:col>
      <xdr:colOff>810846</xdr:colOff>
      <xdr:row>32</xdr:row>
      <xdr:rowOff>204177</xdr:rowOff>
    </xdr:to>
    <xdr:graphicFrame macro="">
      <xdr:nvGraphicFramePr>
        <xdr:cNvPr id="3" name="Diagram 2">
          <a:extLst>
            <a:ext uri="{FF2B5EF4-FFF2-40B4-BE49-F238E27FC236}">
              <a16:creationId xmlns:a16="http://schemas.microsoft.com/office/drawing/2014/main" id="{B8F5E019-89BC-8E46-9CA7-98EFFF46E4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35170</xdr:colOff>
      <xdr:row>19</xdr:row>
      <xdr:rowOff>11723</xdr:rowOff>
    </xdr:from>
    <xdr:to>
      <xdr:col>13</xdr:col>
      <xdr:colOff>810846</xdr:colOff>
      <xdr:row>33</xdr:row>
      <xdr:rowOff>9769</xdr:rowOff>
    </xdr:to>
    <xdr:graphicFrame macro="">
      <xdr:nvGraphicFramePr>
        <xdr:cNvPr id="4" name="Diagram 3">
          <a:extLst>
            <a:ext uri="{FF2B5EF4-FFF2-40B4-BE49-F238E27FC236}">
              <a16:creationId xmlns:a16="http://schemas.microsoft.com/office/drawing/2014/main" id="{E8693716-477C-CB4E-A90E-891CE3C237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39077</xdr:colOff>
      <xdr:row>4</xdr:row>
      <xdr:rowOff>9770</xdr:rowOff>
    </xdr:from>
    <xdr:to>
      <xdr:col>13</xdr:col>
      <xdr:colOff>810846</xdr:colOff>
      <xdr:row>18</xdr:row>
      <xdr:rowOff>9770</xdr:rowOff>
    </xdr:to>
    <xdr:graphicFrame macro="">
      <xdr:nvGraphicFramePr>
        <xdr:cNvPr id="5" name="Diagram 4">
          <a:extLst>
            <a:ext uri="{FF2B5EF4-FFF2-40B4-BE49-F238E27FC236}">
              <a16:creationId xmlns:a16="http://schemas.microsoft.com/office/drawing/2014/main" id="{6A2C2E7E-C65A-9647-A4DC-2D21D965E7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40054</xdr:colOff>
      <xdr:row>34</xdr:row>
      <xdr:rowOff>0</xdr:rowOff>
    </xdr:from>
    <xdr:to>
      <xdr:col>6</xdr:col>
      <xdr:colOff>801077</xdr:colOff>
      <xdr:row>47</xdr:row>
      <xdr:rowOff>170960</xdr:rowOff>
    </xdr:to>
    <xdr:graphicFrame macro="">
      <xdr:nvGraphicFramePr>
        <xdr:cNvPr id="6" name="Diagram 5">
          <a:extLst>
            <a:ext uri="{FF2B5EF4-FFF2-40B4-BE49-F238E27FC236}">
              <a16:creationId xmlns:a16="http://schemas.microsoft.com/office/drawing/2014/main" id="{2E58C678-CD1C-024A-A1FA-A57643A6B4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39077</xdr:colOff>
      <xdr:row>33</xdr:row>
      <xdr:rowOff>205153</xdr:rowOff>
    </xdr:from>
    <xdr:to>
      <xdr:col>13</xdr:col>
      <xdr:colOff>791308</xdr:colOff>
      <xdr:row>47</xdr:row>
      <xdr:rowOff>166076</xdr:rowOff>
    </xdr:to>
    <xdr:graphicFrame macro="">
      <xdr:nvGraphicFramePr>
        <xdr:cNvPr id="7" name="Diagram 6">
          <a:extLst>
            <a:ext uri="{FF2B5EF4-FFF2-40B4-BE49-F238E27FC236}">
              <a16:creationId xmlns:a16="http://schemas.microsoft.com/office/drawing/2014/main" id="{9B058469-6E3D-4046-9316-347D76F082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92E439B1-9482-064E-B563-C0D77FCBC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3906B8AD-C14C-484B-9E03-4E1E834776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E9BF0452-3CC8-C443-ADBE-28EC2B0161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1F72BF86-83FF-9345-8FEB-590269D6A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6CE73B8F-F685-3440-B148-2D64DA12CB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FBB42B84-BF95-A345-B90C-507DD39CEB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8C52CB18-0C38-3746-8676-0C8D4E46108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CE27E12D-BCDA-3F48-BD5C-3C25BA2367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A9E4A844-F55E-344C-8405-6054B753DA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FCFAA010-EF8F-7841-A182-186657285E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C853F619-7853-684E-879C-36A8C8A7970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02354AE8-CA1B-A742-B35B-0ADF998B43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32C8E508-5E62-0F49-98C7-88550CC281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802A3232-9BA5-9B4D-A0A1-C295E577FE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98BF26D4-5A99-A54C-8C90-C2E0B7D62B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78155</xdr:colOff>
      <xdr:row>31</xdr:row>
      <xdr:rowOff>117232</xdr:rowOff>
    </xdr:from>
    <xdr:to>
      <xdr:col>1</xdr:col>
      <xdr:colOff>2276231</xdr:colOff>
      <xdr:row>41</xdr:row>
      <xdr:rowOff>166077</xdr:rowOff>
    </xdr:to>
    <xdr:graphicFrame macro="">
      <xdr:nvGraphicFramePr>
        <xdr:cNvPr id="2" name="Diagram 1">
          <a:extLst>
            <a:ext uri="{FF2B5EF4-FFF2-40B4-BE49-F238E27FC236}">
              <a16:creationId xmlns:a16="http://schemas.microsoft.com/office/drawing/2014/main" id="{AF58960A-CBF7-174D-B923-C13248E7A0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29316</xdr:colOff>
      <xdr:row>31</xdr:row>
      <xdr:rowOff>113322</xdr:rowOff>
    </xdr:from>
    <xdr:to>
      <xdr:col>4</xdr:col>
      <xdr:colOff>1103927</xdr:colOff>
      <xdr:row>41</xdr:row>
      <xdr:rowOff>166077</xdr:rowOff>
    </xdr:to>
    <xdr:graphicFrame macro="">
      <xdr:nvGraphicFramePr>
        <xdr:cNvPr id="3" name="Diagram 2">
          <a:extLst>
            <a:ext uri="{FF2B5EF4-FFF2-40B4-BE49-F238E27FC236}">
              <a16:creationId xmlns:a16="http://schemas.microsoft.com/office/drawing/2014/main" id="{1BA89B72-EA01-D24D-8B4E-2D05FB5A97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1143001</xdr:colOff>
      <xdr:row>31</xdr:row>
      <xdr:rowOff>113326</xdr:rowOff>
    </xdr:from>
    <xdr:to>
      <xdr:col>6</xdr:col>
      <xdr:colOff>1</xdr:colOff>
      <xdr:row>41</xdr:row>
      <xdr:rowOff>166078</xdr:rowOff>
    </xdr:to>
    <xdr:graphicFrame macro="">
      <xdr:nvGraphicFramePr>
        <xdr:cNvPr id="4" name="Diagram 3">
          <a:extLst>
            <a:ext uri="{FF2B5EF4-FFF2-40B4-BE49-F238E27FC236}">
              <a16:creationId xmlns:a16="http://schemas.microsoft.com/office/drawing/2014/main" id="{C61A3DEF-8E2E-FC4D-8059-4EACEDDB06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frihetsresan.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41A66-54C9-064F-BC3A-9C9CA32E7FB7}">
  <sheetPr>
    <tabColor rgb="FF7030A0"/>
  </sheetPr>
  <dimension ref="A1:B28"/>
  <sheetViews>
    <sheetView showGridLines="0" zoomScale="150" zoomScaleNormal="150" workbookViewId="0">
      <selection activeCell="C25" sqref="C25"/>
    </sheetView>
  </sheetViews>
  <sheetFormatPr baseColWidth="10" defaultRowHeight="16" x14ac:dyDescent="0.2"/>
  <cols>
    <col min="2" max="2" width="59.83203125" customWidth="1"/>
  </cols>
  <sheetData>
    <row r="1" spans="1:2" x14ac:dyDescent="0.2">
      <c r="B1" s="51" t="s">
        <v>131</v>
      </c>
    </row>
    <row r="3" spans="1:2" ht="34" x14ac:dyDescent="0.2">
      <c r="A3" s="50" t="s">
        <v>132</v>
      </c>
      <c r="B3" s="80" t="s">
        <v>133</v>
      </c>
    </row>
    <row r="4" spans="1:2" x14ac:dyDescent="0.2">
      <c r="A4" s="81"/>
      <c r="B4" s="81"/>
    </row>
    <row r="5" spans="1:2" ht="51" x14ac:dyDescent="0.2">
      <c r="A5" s="50" t="s">
        <v>134</v>
      </c>
      <c r="B5" s="80" t="s">
        <v>136</v>
      </c>
    </row>
    <row r="6" spans="1:2" ht="51" x14ac:dyDescent="0.2">
      <c r="A6" s="81"/>
      <c r="B6" s="80" t="s">
        <v>144</v>
      </c>
    </row>
    <row r="7" spans="1:2" x14ac:dyDescent="0.2">
      <c r="A7" s="81"/>
      <c r="B7" s="81"/>
    </row>
    <row r="8" spans="1:2" ht="16" customHeight="1" x14ac:dyDescent="0.2">
      <c r="A8" s="50" t="s">
        <v>135</v>
      </c>
      <c r="B8" s="80" t="s">
        <v>141</v>
      </c>
    </row>
    <row r="9" spans="1:2" x14ac:dyDescent="0.2">
      <c r="A9" s="81"/>
      <c r="B9" s="81"/>
    </row>
    <row r="10" spans="1:2" ht="84" customHeight="1" x14ac:dyDescent="0.2">
      <c r="A10" s="50" t="s">
        <v>137</v>
      </c>
      <c r="B10" s="80" t="s">
        <v>148</v>
      </c>
    </row>
    <row r="11" spans="1:2" x14ac:dyDescent="0.2">
      <c r="A11" s="81"/>
      <c r="B11" s="81"/>
    </row>
    <row r="12" spans="1:2" x14ac:dyDescent="0.2">
      <c r="A12" s="50" t="s">
        <v>142</v>
      </c>
      <c r="B12" s="81" t="s">
        <v>138</v>
      </c>
    </row>
    <row r="13" spans="1:2" x14ac:dyDescent="0.2">
      <c r="A13" s="50"/>
      <c r="B13" s="81"/>
    </row>
    <row r="14" spans="1:2" x14ac:dyDescent="0.2">
      <c r="A14" s="50"/>
      <c r="B14" s="89" t="s">
        <v>162</v>
      </c>
    </row>
    <row r="15" spans="1:2" ht="51" x14ac:dyDescent="0.2">
      <c r="A15" s="50"/>
      <c r="B15" s="80" t="s">
        <v>167</v>
      </c>
    </row>
    <row r="16" spans="1:2" x14ac:dyDescent="0.2">
      <c r="A16" s="50"/>
      <c r="B16" s="81"/>
    </row>
    <row r="17" spans="1:2" ht="68" x14ac:dyDescent="0.2">
      <c r="A17" s="50"/>
      <c r="B17" s="80" t="s">
        <v>160</v>
      </c>
    </row>
    <row r="18" spans="1:2" x14ac:dyDescent="0.2">
      <c r="A18" s="81"/>
      <c r="B18" s="81"/>
    </row>
    <row r="19" spans="1:2" ht="34" x14ac:dyDescent="0.2">
      <c r="A19" s="81"/>
      <c r="B19" s="80" t="s">
        <v>145</v>
      </c>
    </row>
    <row r="21" spans="1:2" ht="34" x14ac:dyDescent="0.2">
      <c r="B21" s="49" t="s">
        <v>168</v>
      </c>
    </row>
    <row r="23" spans="1:2" ht="34" x14ac:dyDescent="0.2">
      <c r="B23" s="49" t="s">
        <v>163</v>
      </c>
    </row>
    <row r="25" spans="1:2" ht="51" x14ac:dyDescent="0.2">
      <c r="B25" s="49" t="s">
        <v>159</v>
      </c>
    </row>
    <row r="27" spans="1:2" x14ac:dyDescent="0.2">
      <c r="B27" t="s">
        <v>146</v>
      </c>
    </row>
    <row r="28" spans="1:2" x14ac:dyDescent="0.2">
      <c r="B28" s="82" t="s">
        <v>147</v>
      </c>
    </row>
  </sheetData>
  <hyperlinks>
    <hyperlink ref="B28" r:id="rId1" xr:uid="{9E58E2EE-7DF0-D847-98D5-E562AA1344D9}"/>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A0A7E-A871-FD40-9CDA-D6B5A793F4BC}">
  <sheetPr>
    <tabColor rgb="FF00B0F0"/>
  </sheetPr>
  <dimension ref="A1:M33"/>
  <sheetViews>
    <sheetView showGridLines="0" zoomScale="120" zoomScaleNormal="120" workbookViewId="0">
      <selection activeCell="C16" sqref="C16"/>
    </sheetView>
  </sheetViews>
  <sheetFormatPr baseColWidth="10" defaultColWidth="14.1640625" defaultRowHeight="16" x14ac:dyDescent="0.2"/>
  <cols>
    <col min="1" max="12" width="16.6640625" style="55" customWidth="1"/>
    <col min="13" max="16384" width="14.1640625" style="45"/>
  </cols>
  <sheetData>
    <row r="1" spans="1:13" ht="20" thickBot="1" x14ac:dyDescent="0.3">
      <c r="A1" s="71" t="s">
        <v>139</v>
      </c>
      <c r="B1" s="72" t="s">
        <v>1</v>
      </c>
      <c r="C1" s="73" t="s">
        <v>140</v>
      </c>
      <c r="D1" s="72" t="s">
        <v>4</v>
      </c>
      <c r="E1" s="73" t="s">
        <v>140</v>
      </c>
      <c r="F1" s="74" t="s">
        <v>93</v>
      </c>
      <c r="G1" s="74" t="s">
        <v>103</v>
      </c>
      <c r="H1" s="78" t="s">
        <v>104</v>
      </c>
      <c r="I1" s="72" t="s">
        <v>2</v>
      </c>
      <c r="J1" s="73" t="s">
        <v>140</v>
      </c>
      <c r="K1" s="72" t="s">
        <v>3</v>
      </c>
      <c r="L1" s="73" t="s">
        <v>140</v>
      </c>
    </row>
    <row r="2" spans="1:13" x14ac:dyDescent="0.2">
      <c r="A2" s="59">
        <v>2020</v>
      </c>
      <c r="B2" s="58">
        <f ca="1">B13</f>
        <v>742710</v>
      </c>
      <c r="C2" s="60" t="str">
        <f ca="1">IFERROR((B2/#REF!)-1,"")</f>
        <v/>
      </c>
      <c r="D2" s="58">
        <f t="shared" ref="D2:K2" ca="1" si="0">D13</f>
        <v>230000</v>
      </c>
      <c r="E2" s="60" t="str">
        <f ca="1">IFERROR((D2/#REF!)-1,"")</f>
        <v/>
      </c>
      <c r="F2" s="76">
        <f t="shared" ca="1" si="0"/>
        <v>0.96</v>
      </c>
      <c r="G2" s="77">
        <f t="shared" ca="1" si="0"/>
        <v>3.833333333333333E-2</v>
      </c>
      <c r="H2" s="77">
        <f t="shared" ca="1" si="0"/>
        <v>5.14</v>
      </c>
      <c r="I2" s="58">
        <f t="shared" ca="1" si="0"/>
        <v>80000</v>
      </c>
      <c r="J2" s="60" t="str">
        <f ca="1">IFERROR((I2/#REF!)-1,"")</f>
        <v/>
      </c>
      <c r="K2" s="58">
        <f t="shared" ca="1" si="0"/>
        <v>150000</v>
      </c>
      <c r="L2" s="60" t="str">
        <f ca="1">IFERROR((K2/#REF!)-1,"")</f>
        <v/>
      </c>
    </row>
    <row r="3" spans="1:13" x14ac:dyDescent="0.2">
      <c r="A3" s="59">
        <v>2021</v>
      </c>
      <c r="B3" s="58">
        <f ca="1">B17</f>
        <v>0</v>
      </c>
      <c r="C3" s="60">
        <f t="shared" ref="C3:C7" ca="1" si="1">IFERROR((B3/B2)-1,"")</f>
        <v>-1</v>
      </c>
      <c r="D3" s="58">
        <f t="shared" ref="D3:K3" ca="1" si="2">D17</f>
        <v>0</v>
      </c>
      <c r="E3" s="60">
        <f t="shared" ref="E3:E7" ca="1" si="3">IFERROR((D3/D2)-1,"")</f>
        <v>-1</v>
      </c>
      <c r="F3" s="76" t="str">
        <f t="shared" ca="1" si="2"/>
        <v/>
      </c>
      <c r="G3" s="77" t="str">
        <f t="shared" ca="1" si="2"/>
        <v/>
      </c>
      <c r="H3" s="77" t="str">
        <f t="shared" ca="1" si="2"/>
        <v/>
      </c>
      <c r="I3" s="58">
        <f t="shared" ca="1" si="2"/>
        <v>0</v>
      </c>
      <c r="J3" s="60">
        <f t="shared" ref="J3:L7" ca="1" si="4">IFERROR((I3/I2)-1,"")</f>
        <v>-1</v>
      </c>
      <c r="K3" s="58">
        <f t="shared" ca="1" si="2"/>
        <v>0</v>
      </c>
      <c r="L3" s="60">
        <f t="shared" ca="1" si="4"/>
        <v>-1</v>
      </c>
    </row>
    <row r="4" spans="1:13" x14ac:dyDescent="0.2">
      <c r="A4" s="59">
        <v>2022</v>
      </c>
      <c r="B4" s="58" t="str">
        <f ca="1">B21</f>
        <v/>
      </c>
      <c r="C4" s="60" t="str">
        <f t="shared" ca="1" si="1"/>
        <v/>
      </c>
      <c r="D4" s="58" t="str">
        <f t="shared" ref="D4:K4" ca="1" si="5">D21</f>
        <v/>
      </c>
      <c r="E4" s="60" t="str">
        <f t="shared" ca="1" si="3"/>
        <v/>
      </c>
      <c r="F4" s="76" t="str">
        <f t="shared" ca="1" si="5"/>
        <v/>
      </c>
      <c r="G4" s="77" t="str">
        <f t="shared" ca="1" si="5"/>
        <v/>
      </c>
      <c r="H4" s="77" t="str">
        <f t="shared" ca="1" si="5"/>
        <v/>
      </c>
      <c r="I4" s="58" t="str">
        <f t="shared" ca="1" si="5"/>
        <v/>
      </c>
      <c r="J4" s="60" t="str">
        <f t="shared" ca="1" si="4"/>
        <v/>
      </c>
      <c r="K4" s="58" t="str">
        <f t="shared" ca="1" si="5"/>
        <v/>
      </c>
      <c r="L4" s="60" t="str">
        <f t="shared" ca="1" si="4"/>
        <v/>
      </c>
    </row>
    <row r="5" spans="1:13" x14ac:dyDescent="0.2">
      <c r="A5" s="59">
        <v>2023</v>
      </c>
      <c r="B5" s="58" t="str">
        <f ca="1">B25</f>
        <v/>
      </c>
      <c r="C5" s="60" t="str">
        <f t="shared" ca="1" si="1"/>
        <v/>
      </c>
      <c r="D5" s="58" t="str">
        <f t="shared" ref="D5:K5" ca="1" si="6">D25</f>
        <v/>
      </c>
      <c r="E5" s="60" t="str">
        <f t="shared" ca="1" si="3"/>
        <v/>
      </c>
      <c r="F5" s="76" t="str">
        <f t="shared" ca="1" si="6"/>
        <v/>
      </c>
      <c r="G5" s="77" t="str">
        <f t="shared" ca="1" si="6"/>
        <v/>
      </c>
      <c r="H5" s="77" t="str">
        <f t="shared" ca="1" si="6"/>
        <v/>
      </c>
      <c r="I5" s="58" t="str">
        <f t="shared" ca="1" si="6"/>
        <v/>
      </c>
      <c r="J5" s="60" t="str">
        <f t="shared" ca="1" si="4"/>
        <v/>
      </c>
      <c r="K5" s="58" t="str">
        <f t="shared" ca="1" si="6"/>
        <v/>
      </c>
      <c r="L5" s="60" t="str">
        <f t="shared" ca="1" si="4"/>
        <v/>
      </c>
    </row>
    <row r="6" spans="1:13" x14ac:dyDescent="0.2">
      <c r="A6" s="59">
        <v>2024</v>
      </c>
      <c r="B6" s="58" t="str">
        <f ca="1">B29</f>
        <v/>
      </c>
      <c r="C6" s="60" t="str">
        <f t="shared" ca="1" si="1"/>
        <v/>
      </c>
      <c r="D6" s="58" t="str">
        <f t="shared" ref="D6:K6" ca="1" si="7">D29</f>
        <v/>
      </c>
      <c r="E6" s="60" t="str">
        <f t="shared" ca="1" si="3"/>
        <v/>
      </c>
      <c r="F6" s="76" t="str">
        <f t="shared" ca="1" si="7"/>
        <v/>
      </c>
      <c r="G6" s="77" t="str">
        <f t="shared" ca="1" si="7"/>
        <v/>
      </c>
      <c r="H6" s="77" t="str">
        <f t="shared" ca="1" si="7"/>
        <v/>
      </c>
      <c r="I6" s="58" t="str">
        <f t="shared" ca="1" si="7"/>
        <v/>
      </c>
      <c r="J6" s="60" t="str">
        <f t="shared" ca="1" si="4"/>
        <v/>
      </c>
      <c r="K6" s="58" t="str">
        <f t="shared" ca="1" si="7"/>
        <v/>
      </c>
      <c r="L6" s="60" t="str">
        <f t="shared" ca="1" si="4"/>
        <v/>
      </c>
    </row>
    <row r="7" spans="1:13" x14ac:dyDescent="0.2">
      <c r="A7" s="59">
        <v>2025</v>
      </c>
      <c r="B7" s="58" t="str">
        <f ca="1">B33</f>
        <v/>
      </c>
      <c r="C7" s="60" t="str">
        <f t="shared" ca="1" si="1"/>
        <v/>
      </c>
      <c r="D7" s="58" t="str">
        <f t="shared" ref="D7:K7" ca="1" si="8">D33</f>
        <v/>
      </c>
      <c r="E7" s="60" t="str">
        <f t="shared" ca="1" si="3"/>
        <v/>
      </c>
      <c r="F7" s="76" t="str">
        <f t="shared" ca="1" si="8"/>
        <v/>
      </c>
      <c r="G7" s="77" t="str">
        <f t="shared" ca="1" si="8"/>
        <v/>
      </c>
      <c r="H7" s="77" t="str">
        <f t="shared" ca="1" si="8"/>
        <v/>
      </c>
      <c r="I7" s="58" t="str">
        <f t="shared" ca="1" si="8"/>
        <v/>
      </c>
      <c r="J7" s="60" t="str">
        <f t="shared" ca="1" si="4"/>
        <v/>
      </c>
      <c r="K7" s="58" t="str">
        <f t="shared" ca="1" si="8"/>
        <v/>
      </c>
      <c r="L7" s="60" t="str">
        <f t="shared" ca="1" si="4"/>
        <v/>
      </c>
    </row>
    <row r="12" spans="1:13" s="48" customFormat="1" ht="20" thickBot="1" x14ac:dyDescent="0.3">
      <c r="A12" s="71" t="s">
        <v>0</v>
      </c>
      <c r="B12" s="72" t="s">
        <v>1</v>
      </c>
      <c r="C12" s="73" t="s">
        <v>130</v>
      </c>
      <c r="D12" s="72" t="s">
        <v>4</v>
      </c>
      <c r="E12" s="73" t="s">
        <v>130</v>
      </c>
      <c r="F12" s="74" t="s">
        <v>93</v>
      </c>
      <c r="G12" s="74" t="s">
        <v>103</v>
      </c>
      <c r="H12" s="78" t="s">
        <v>104</v>
      </c>
      <c r="I12" s="72" t="s">
        <v>2</v>
      </c>
      <c r="J12" s="73" t="s">
        <v>130</v>
      </c>
      <c r="K12" s="72" t="s">
        <v>3</v>
      </c>
      <c r="L12" s="73" t="s">
        <v>130</v>
      </c>
      <c r="M12" s="47"/>
    </row>
    <row r="13" spans="1:13" s="67" customFormat="1" x14ac:dyDescent="0.2">
      <c r="A13" s="64" t="s">
        <v>109</v>
      </c>
      <c r="B13" s="61">
        <f t="shared" ref="B13:B33" ca="1" si="9">IFERROR(INDIRECT(("" &amp; $A13 &amp; "!$F$25")),"")</f>
        <v>742710</v>
      </c>
      <c r="C13" s="62" t="str">
        <f ca="1">IFERROR((B13/#REF!)-1,"")</f>
        <v/>
      </c>
      <c r="D13" s="63">
        <f t="shared" ref="D13:D33" ca="1" si="10">IFERROR(INDIRECT(("" &amp; $A13 &amp; "!$F$45")),"")</f>
        <v>230000</v>
      </c>
      <c r="E13" s="62" t="str">
        <f ca="1">IFERROR((D13/#REF!)-1,"")</f>
        <v/>
      </c>
      <c r="F13" s="53">
        <f t="shared" ref="F13:F33" ca="1" si="11">IFERROR(INDIRECT(("" &amp; $A13 &amp; "!$F$48")),"")</f>
        <v>0.96</v>
      </c>
      <c r="G13" s="57">
        <f t="shared" ref="G13:G33" ca="1" si="12">IFERROR(INDIRECT(("" &amp; $A13 &amp; "!$F$47")),"")</f>
        <v>3.833333333333333E-2</v>
      </c>
      <c r="H13" s="53">
        <f t="shared" ref="H13:H33" ca="1" si="13">IFERROR(INDIRECT(("" &amp; $A13 &amp; "!$C$48")),"")</f>
        <v>5.14</v>
      </c>
      <c r="I13" s="63">
        <f ca="1">IFERROR(INDIRECT(("" &amp; $A13 &amp; "!$K$63")),"")</f>
        <v>80000</v>
      </c>
      <c r="J13" s="62" t="str">
        <f ca="1">IFERROR((I13/#REF!)-1,"")</f>
        <v/>
      </c>
      <c r="K13" s="61">
        <f t="shared" ref="K13:K33" ca="1" si="14">IFERROR(INDIRECT(("" &amp; $A13 &amp; "!$C$28")),"")</f>
        <v>150000</v>
      </c>
      <c r="L13" s="62" t="str">
        <f ca="1">IFERROR((K13/#REF!)-1,"")</f>
        <v/>
      </c>
    </row>
    <row r="14" spans="1:13" x14ac:dyDescent="0.2">
      <c r="A14" s="59" t="s">
        <v>105</v>
      </c>
      <c r="B14" s="58">
        <f t="shared" ca="1" si="9"/>
        <v>0</v>
      </c>
      <c r="C14" s="60">
        <f t="shared" ref="C14:C17" ca="1" si="15">IFERROR((B14/B13)-1,"")</f>
        <v>-1</v>
      </c>
      <c r="D14" s="58">
        <f t="shared" ca="1" si="10"/>
        <v>0</v>
      </c>
      <c r="E14" s="60">
        <f t="shared" ref="E14:E17" ca="1" si="16">IFERROR((D14/D13)-1,"")</f>
        <v>-1</v>
      </c>
      <c r="F14" s="52" t="str">
        <f t="shared" ca="1" si="11"/>
        <v/>
      </c>
      <c r="G14" s="56" t="str">
        <f t="shared" ca="1" si="12"/>
        <v/>
      </c>
      <c r="H14" s="52" t="str">
        <f t="shared" ca="1" si="13"/>
        <v/>
      </c>
      <c r="I14" s="58">
        <f t="shared" ref="I14:I33" ca="1" si="17">IFERROR(INDIRECT(("" &amp; $A14 &amp; "!$K$63")),"")</f>
        <v>0</v>
      </c>
      <c r="J14" s="60">
        <f t="shared" ref="J14:J17" ca="1" si="18">IFERROR((I14/I13)-1,"")</f>
        <v>-1</v>
      </c>
      <c r="K14" s="58">
        <f t="shared" ca="1" si="14"/>
        <v>0</v>
      </c>
      <c r="L14" s="60">
        <f t="shared" ref="L14:L17" ca="1" si="19">IFERROR((K14/K13)-1,"")</f>
        <v>-1</v>
      </c>
    </row>
    <row r="15" spans="1:13" x14ac:dyDescent="0.2">
      <c r="A15" s="59" t="s">
        <v>106</v>
      </c>
      <c r="B15" s="58">
        <f t="shared" ca="1" si="9"/>
        <v>0</v>
      </c>
      <c r="C15" s="60" t="str">
        <f t="shared" ca="1" si="15"/>
        <v/>
      </c>
      <c r="D15" s="58">
        <f t="shared" ca="1" si="10"/>
        <v>0</v>
      </c>
      <c r="E15" s="60" t="str">
        <f t="shared" ca="1" si="16"/>
        <v/>
      </c>
      <c r="F15" s="52" t="str">
        <f t="shared" ca="1" si="11"/>
        <v/>
      </c>
      <c r="G15" s="56" t="str">
        <f t="shared" ca="1" si="12"/>
        <v/>
      </c>
      <c r="H15" s="52" t="str">
        <f t="shared" ca="1" si="13"/>
        <v/>
      </c>
      <c r="I15" s="58">
        <f t="shared" ca="1" si="17"/>
        <v>0</v>
      </c>
      <c r="J15" s="60" t="str">
        <f t="shared" ca="1" si="18"/>
        <v/>
      </c>
      <c r="K15" s="58">
        <f t="shared" ca="1" si="14"/>
        <v>0</v>
      </c>
      <c r="L15" s="60" t="str">
        <f t="shared" ca="1" si="19"/>
        <v/>
      </c>
    </row>
    <row r="16" spans="1:13" x14ac:dyDescent="0.2">
      <c r="A16" s="59" t="s">
        <v>107</v>
      </c>
      <c r="B16" s="58">
        <f t="shared" ca="1" si="9"/>
        <v>0</v>
      </c>
      <c r="C16" s="60" t="str">
        <f t="shared" ca="1" si="15"/>
        <v/>
      </c>
      <c r="D16" s="58">
        <f t="shared" ca="1" si="10"/>
        <v>0</v>
      </c>
      <c r="E16" s="60" t="str">
        <f t="shared" ca="1" si="16"/>
        <v/>
      </c>
      <c r="F16" s="52" t="str">
        <f t="shared" ca="1" si="11"/>
        <v/>
      </c>
      <c r="G16" s="56" t="str">
        <f t="shared" ca="1" si="12"/>
        <v/>
      </c>
      <c r="H16" s="52" t="str">
        <f t="shared" ca="1" si="13"/>
        <v/>
      </c>
      <c r="I16" s="58">
        <f t="shared" ca="1" si="17"/>
        <v>0</v>
      </c>
      <c r="J16" s="60" t="str">
        <f t="shared" ca="1" si="18"/>
        <v/>
      </c>
      <c r="K16" s="58">
        <f t="shared" ca="1" si="14"/>
        <v>0</v>
      </c>
      <c r="L16" s="60" t="str">
        <f t="shared" ca="1" si="19"/>
        <v/>
      </c>
    </row>
    <row r="17" spans="1:12" s="67" customFormat="1" x14ac:dyDescent="0.2">
      <c r="A17" s="64" t="s">
        <v>108</v>
      </c>
      <c r="B17" s="61">
        <f t="shared" ca="1" si="9"/>
        <v>0</v>
      </c>
      <c r="C17" s="62" t="str">
        <f t="shared" ca="1" si="15"/>
        <v/>
      </c>
      <c r="D17" s="63">
        <f t="shared" ca="1" si="10"/>
        <v>0</v>
      </c>
      <c r="E17" s="62" t="str">
        <f t="shared" ca="1" si="16"/>
        <v/>
      </c>
      <c r="F17" s="53" t="str">
        <f t="shared" ca="1" si="11"/>
        <v/>
      </c>
      <c r="G17" s="57" t="str">
        <f t="shared" ca="1" si="12"/>
        <v/>
      </c>
      <c r="H17" s="53" t="str">
        <f t="shared" ca="1" si="13"/>
        <v/>
      </c>
      <c r="I17" s="63">
        <f t="shared" ca="1" si="17"/>
        <v>0</v>
      </c>
      <c r="J17" s="62" t="str">
        <f t="shared" ca="1" si="18"/>
        <v/>
      </c>
      <c r="K17" s="61">
        <f t="shared" ca="1" si="14"/>
        <v>0</v>
      </c>
      <c r="L17" s="62" t="str">
        <f t="shared" ca="1" si="19"/>
        <v/>
      </c>
    </row>
    <row r="18" spans="1:12" x14ac:dyDescent="0.2">
      <c r="A18" s="59" t="s">
        <v>114</v>
      </c>
      <c r="B18" s="58" t="str">
        <f t="shared" ca="1" si="9"/>
        <v/>
      </c>
      <c r="C18" s="59"/>
      <c r="D18" s="58" t="str">
        <f t="shared" ca="1" si="10"/>
        <v/>
      </c>
      <c r="E18" s="59"/>
      <c r="F18" s="52" t="str">
        <f t="shared" ca="1" si="11"/>
        <v/>
      </c>
      <c r="G18" s="52" t="str">
        <f t="shared" ca="1" si="12"/>
        <v/>
      </c>
      <c r="H18" s="52" t="str">
        <f t="shared" ca="1" si="13"/>
        <v/>
      </c>
      <c r="I18" s="58" t="str">
        <f t="shared" ca="1" si="17"/>
        <v/>
      </c>
      <c r="J18" s="59"/>
      <c r="K18" s="58" t="str">
        <f t="shared" ca="1" si="14"/>
        <v/>
      </c>
      <c r="L18" s="59"/>
    </row>
    <row r="19" spans="1:12" x14ac:dyDescent="0.2">
      <c r="A19" s="59" t="s">
        <v>115</v>
      </c>
      <c r="B19" s="58" t="str">
        <f t="shared" ca="1" si="9"/>
        <v/>
      </c>
      <c r="C19" s="59"/>
      <c r="D19" s="58" t="str">
        <f t="shared" ca="1" si="10"/>
        <v/>
      </c>
      <c r="E19" s="59"/>
      <c r="F19" s="52" t="str">
        <f t="shared" ca="1" si="11"/>
        <v/>
      </c>
      <c r="G19" s="52" t="str">
        <f t="shared" ca="1" si="12"/>
        <v/>
      </c>
      <c r="H19" s="52" t="str">
        <f t="shared" ca="1" si="13"/>
        <v/>
      </c>
      <c r="I19" s="58" t="str">
        <f t="shared" ca="1" si="17"/>
        <v/>
      </c>
      <c r="J19" s="59"/>
      <c r="K19" s="58" t="str">
        <f t="shared" ca="1" si="14"/>
        <v/>
      </c>
      <c r="L19" s="59"/>
    </row>
    <row r="20" spans="1:12" x14ac:dyDescent="0.2">
      <c r="A20" s="59" t="s">
        <v>116</v>
      </c>
      <c r="B20" s="58" t="str">
        <f t="shared" ca="1" si="9"/>
        <v/>
      </c>
      <c r="C20" s="59"/>
      <c r="D20" s="58" t="str">
        <f t="shared" ca="1" si="10"/>
        <v/>
      </c>
      <c r="E20" s="59"/>
      <c r="F20" s="52" t="str">
        <f t="shared" ca="1" si="11"/>
        <v/>
      </c>
      <c r="G20" s="52" t="str">
        <f t="shared" ca="1" si="12"/>
        <v/>
      </c>
      <c r="H20" s="52" t="str">
        <f t="shared" ca="1" si="13"/>
        <v/>
      </c>
      <c r="I20" s="58" t="str">
        <f t="shared" ca="1" si="17"/>
        <v/>
      </c>
      <c r="J20" s="59"/>
      <c r="K20" s="58" t="str">
        <f t="shared" ca="1" si="14"/>
        <v/>
      </c>
      <c r="L20" s="59"/>
    </row>
    <row r="21" spans="1:12" s="67" customFormat="1" x14ac:dyDescent="0.2">
      <c r="A21" s="64" t="s">
        <v>117</v>
      </c>
      <c r="B21" s="61" t="str">
        <f t="shared" ca="1" si="9"/>
        <v/>
      </c>
      <c r="C21" s="62"/>
      <c r="D21" s="63" t="str">
        <f t="shared" ca="1" si="10"/>
        <v/>
      </c>
      <c r="E21" s="62"/>
      <c r="F21" s="53" t="str">
        <f t="shared" ca="1" si="11"/>
        <v/>
      </c>
      <c r="G21" s="57" t="str">
        <f t="shared" ca="1" si="12"/>
        <v/>
      </c>
      <c r="H21" s="53" t="str">
        <f t="shared" ca="1" si="13"/>
        <v/>
      </c>
      <c r="I21" s="63" t="str">
        <f t="shared" ca="1" si="17"/>
        <v/>
      </c>
      <c r="J21" s="62"/>
      <c r="K21" s="61" t="str">
        <f t="shared" ca="1" si="14"/>
        <v/>
      </c>
      <c r="L21" s="62"/>
    </row>
    <row r="22" spans="1:12" x14ac:dyDescent="0.2">
      <c r="A22" s="66" t="s">
        <v>118</v>
      </c>
      <c r="B22" s="58" t="str">
        <f t="shared" ca="1" si="9"/>
        <v/>
      </c>
      <c r="C22" s="59"/>
      <c r="D22" s="58" t="str">
        <f t="shared" ca="1" si="10"/>
        <v/>
      </c>
      <c r="E22" s="59"/>
      <c r="F22" s="52" t="str">
        <f t="shared" ca="1" si="11"/>
        <v/>
      </c>
      <c r="G22" s="52" t="str">
        <f t="shared" ca="1" si="12"/>
        <v/>
      </c>
      <c r="H22" s="52" t="str">
        <f t="shared" ca="1" si="13"/>
        <v/>
      </c>
      <c r="I22" s="58" t="str">
        <f t="shared" ca="1" si="17"/>
        <v/>
      </c>
      <c r="J22" s="59"/>
      <c r="K22" s="58" t="str">
        <f t="shared" ca="1" si="14"/>
        <v/>
      </c>
      <c r="L22" s="59"/>
    </row>
    <row r="23" spans="1:12" x14ac:dyDescent="0.2">
      <c r="A23" s="66" t="s">
        <v>119</v>
      </c>
      <c r="B23" s="58" t="str">
        <f t="shared" ca="1" si="9"/>
        <v/>
      </c>
      <c r="C23" s="59"/>
      <c r="D23" s="58" t="str">
        <f t="shared" ca="1" si="10"/>
        <v/>
      </c>
      <c r="E23" s="59"/>
      <c r="F23" s="52" t="str">
        <f t="shared" ca="1" si="11"/>
        <v/>
      </c>
      <c r="G23" s="52" t="str">
        <f t="shared" ca="1" si="12"/>
        <v/>
      </c>
      <c r="H23" s="52" t="str">
        <f t="shared" ca="1" si="13"/>
        <v/>
      </c>
      <c r="I23" s="58" t="str">
        <f t="shared" ca="1" si="17"/>
        <v/>
      </c>
      <c r="J23" s="59"/>
      <c r="K23" s="58" t="str">
        <f t="shared" ca="1" si="14"/>
        <v/>
      </c>
      <c r="L23" s="59"/>
    </row>
    <row r="24" spans="1:12" x14ac:dyDescent="0.2">
      <c r="A24" s="66" t="s">
        <v>120</v>
      </c>
      <c r="B24" s="58" t="str">
        <f t="shared" ca="1" si="9"/>
        <v/>
      </c>
      <c r="C24" s="59"/>
      <c r="D24" s="58" t="str">
        <f t="shared" ca="1" si="10"/>
        <v/>
      </c>
      <c r="E24" s="59"/>
      <c r="F24" s="52" t="str">
        <f t="shared" ca="1" si="11"/>
        <v/>
      </c>
      <c r="G24" s="52" t="str">
        <f t="shared" ca="1" si="12"/>
        <v/>
      </c>
      <c r="H24" s="52" t="str">
        <f t="shared" ca="1" si="13"/>
        <v/>
      </c>
      <c r="I24" s="58" t="str">
        <f t="shared" ca="1" si="17"/>
        <v/>
      </c>
      <c r="J24" s="59"/>
      <c r="K24" s="58" t="str">
        <f t="shared" ca="1" si="14"/>
        <v/>
      </c>
      <c r="L24" s="59"/>
    </row>
    <row r="25" spans="1:12" s="68" customFormat="1" x14ac:dyDescent="0.2">
      <c r="A25" s="69" t="s">
        <v>121</v>
      </c>
      <c r="B25" s="70" t="str">
        <f t="shared" ca="1" si="9"/>
        <v/>
      </c>
      <c r="C25" s="65"/>
      <c r="D25" s="63" t="str">
        <f t="shared" ca="1" si="10"/>
        <v/>
      </c>
      <c r="E25" s="65"/>
      <c r="F25" s="54" t="str">
        <f t="shared" ca="1" si="11"/>
        <v/>
      </c>
      <c r="G25" s="54" t="str">
        <f t="shared" ca="1" si="12"/>
        <v/>
      </c>
      <c r="H25" s="54" t="str">
        <f t="shared" ca="1" si="13"/>
        <v/>
      </c>
      <c r="I25" s="63" t="str">
        <f t="shared" ca="1" si="17"/>
        <v/>
      </c>
      <c r="J25" s="65"/>
      <c r="K25" s="63" t="str">
        <f t="shared" ca="1" si="14"/>
        <v/>
      </c>
      <c r="L25" s="65"/>
    </row>
    <row r="26" spans="1:12" x14ac:dyDescent="0.2">
      <c r="A26" s="66" t="s">
        <v>122</v>
      </c>
      <c r="B26" s="58" t="str">
        <f t="shared" ca="1" si="9"/>
        <v/>
      </c>
      <c r="C26" s="59"/>
      <c r="D26" s="58" t="str">
        <f t="shared" ca="1" si="10"/>
        <v/>
      </c>
      <c r="E26" s="59"/>
      <c r="F26" s="52" t="str">
        <f t="shared" ca="1" si="11"/>
        <v/>
      </c>
      <c r="G26" s="52" t="str">
        <f t="shared" ca="1" si="12"/>
        <v/>
      </c>
      <c r="H26" s="52" t="str">
        <f t="shared" ca="1" si="13"/>
        <v/>
      </c>
      <c r="I26" s="58" t="str">
        <f t="shared" ca="1" si="17"/>
        <v/>
      </c>
      <c r="J26" s="59"/>
      <c r="K26" s="58" t="str">
        <f t="shared" ca="1" si="14"/>
        <v/>
      </c>
      <c r="L26" s="59"/>
    </row>
    <row r="27" spans="1:12" x14ac:dyDescent="0.2">
      <c r="A27" s="66" t="s">
        <v>123</v>
      </c>
      <c r="B27" s="58" t="str">
        <f t="shared" ca="1" si="9"/>
        <v/>
      </c>
      <c r="C27" s="59"/>
      <c r="D27" s="58" t="str">
        <f t="shared" ca="1" si="10"/>
        <v/>
      </c>
      <c r="E27" s="59"/>
      <c r="F27" s="52" t="str">
        <f t="shared" ca="1" si="11"/>
        <v/>
      </c>
      <c r="G27" s="52" t="str">
        <f t="shared" ca="1" si="12"/>
        <v/>
      </c>
      <c r="H27" s="52" t="str">
        <f t="shared" ca="1" si="13"/>
        <v/>
      </c>
      <c r="I27" s="58" t="str">
        <f t="shared" ca="1" si="17"/>
        <v/>
      </c>
      <c r="J27" s="59"/>
      <c r="K27" s="58" t="str">
        <f t="shared" ca="1" si="14"/>
        <v/>
      </c>
      <c r="L27" s="59"/>
    </row>
    <row r="28" spans="1:12" x14ac:dyDescent="0.2">
      <c r="A28" s="66" t="s">
        <v>124</v>
      </c>
      <c r="B28" s="58" t="str">
        <f t="shared" ca="1" si="9"/>
        <v/>
      </c>
      <c r="C28" s="59"/>
      <c r="D28" s="58" t="str">
        <f t="shared" ca="1" si="10"/>
        <v/>
      </c>
      <c r="E28" s="59"/>
      <c r="F28" s="52" t="str">
        <f t="shared" ca="1" si="11"/>
        <v/>
      </c>
      <c r="G28" s="52" t="str">
        <f t="shared" ca="1" si="12"/>
        <v/>
      </c>
      <c r="H28" s="52" t="str">
        <f t="shared" ca="1" si="13"/>
        <v/>
      </c>
      <c r="I28" s="58" t="str">
        <f t="shared" ca="1" si="17"/>
        <v/>
      </c>
      <c r="J28" s="59"/>
      <c r="K28" s="58" t="str">
        <f t="shared" ca="1" si="14"/>
        <v/>
      </c>
      <c r="L28" s="59"/>
    </row>
    <row r="29" spans="1:12" s="68" customFormat="1" x14ac:dyDescent="0.2">
      <c r="A29" s="69" t="s">
        <v>125</v>
      </c>
      <c r="B29" s="70" t="str">
        <f t="shared" ca="1" si="9"/>
        <v/>
      </c>
      <c r="C29" s="65"/>
      <c r="D29" s="63" t="str">
        <f t="shared" ca="1" si="10"/>
        <v/>
      </c>
      <c r="E29" s="65"/>
      <c r="F29" s="54" t="str">
        <f t="shared" ca="1" si="11"/>
        <v/>
      </c>
      <c r="G29" s="54" t="str">
        <f t="shared" ca="1" si="12"/>
        <v/>
      </c>
      <c r="H29" s="54" t="str">
        <f t="shared" ca="1" si="13"/>
        <v/>
      </c>
      <c r="I29" s="63" t="str">
        <f t="shared" ca="1" si="17"/>
        <v/>
      </c>
      <c r="J29" s="65"/>
      <c r="K29" s="63" t="str">
        <f t="shared" ca="1" si="14"/>
        <v/>
      </c>
      <c r="L29" s="65"/>
    </row>
    <row r="30" spans="1:12" x14ac:dyDescent="0.2">
      <c r="A30" s="66" t="s">
        <v>126</v>
      </c>
      <c r="B30" s="58" t="str">
        <f t="shared" ca="1" si="9"/>
        <v/>
      </c>
      <c r="C30" s="59"/>
      <c r="D30" s="58" t="str">
        <f t="shared" ca="1" si="10"/>
        <v/>
      </c>
      <c r="E30" s="59"/>
      <c r="F30" s="52" t="str">
        <f t="shared" ca="1" si="11"/>
        <v/>
      </c>
      <c r="G30" s="52" t="str">
        <f t="shared" ca="1" si="12"/>
        <v/>
      </c>
      <c r="H30" s="52" t="str">
        <f t="shared" ca="1" si="13"/>
        <v/>
      </c>
      <c r="I30" s="58" t="str">
        <f t="shared" ca="1" si="17"/>
        <v/>
      </c>
      <c r="J30" s="59"/>
      <c r="K30" s="58" t="str">
        <f t="shared" ca="1" si="14"/>
        <v/>
      </c>
      <c r="L30" s="59"/>
    </row>
    <row r="31" spans="1:12" x14ac:dyDescent="0.2">
      <c r="A31" s="66" t="s">
        <v>127</v>
      </c>
      <c r="B31" s="58" t="str">
        <f t="shared" ca="1" si="9"/>
        <v/>
      </c>
      <c r="C31" s="59"/>
      <c r="D31" s="58" t="str">
        <f t="shared" ca="1" si="10"/>
        <v/>
      </c>
      <c r="E31" s="59"/>
      <c r="F31" s="52" t="str">
        <f t="shared" ca="1" si="11"/>
        <v/>
      </c>
      <c r="G31" s="52" t="str">
        <f t="shared" ca="1" si="12"/>
        <v/>
      </c>
      <c r="H31" s="52" t="str">
        <f t="shared" ca="1" si="13"/>
        <v/>
      </c>
      <c r="I31" s="58" t="str">
        <f t="shared" ca="1" si="17"/>
        <v/>
      </c>
      <c r="J31" s="59"/>
      <c r="K31" s="58" t="str">
        <f t="shared" ca="1" si="14"/>
        <v/>
      </c>
      <c r="L31" s="59"/>
    </row>
    <row r="32" spans="1:12" x14ac:dyDescent="0.2">
      <c r="A32" s="66" t="s">
        <v>128</v>
      </c>
      <c r="B32" s="58" t="str">
        <f t="shared" ca="1" si="9"/>
        <v/>
      </c>
      <c r="C32" s="59"/>
      <c r="D32" s="58" t="str">
        <f t="shared" ca="1" si="10"/>
        <v/>
      </c>
      <c r="E32" s="59"/>
      <c r="F32" s="52" t="str">
        <f t="shared" ca="1" si="11"/>
        <v/>
      </c>
      <c r="G32" s="52" t="str">
        <f t="shared" ca="1" si="12"/>
        <v/>
      </c>
      <c r="H32" s="52" t="str">
        <f t="shared" ca="1" si="13"/>
        <v/>
      </c>
      <c r="I32" s="58" t="str">
        <f t="shared" ca="1" si="17"/>
        <v/>
      </c>
      <c r="J32" s="59"/>
      <c r="K32" s="58" t="str">
        <f t="shared" ca="1" si="14"/>
        <v/>
      </c>
      <c r="L32" s="59"/>
    </row>
    <row r="33" spans="1:12" s="68" customFormat="1" x14ac:dyDescent="0.2">
      <c r="A33" s="69" t="s">
        <v>129</v>
      </c>
      <c r="B33" s="70" t="str">
        <f t="shared" ca="1" si="9"/>
        <v/>
      </c>
      <c r="C33" s="65"/>
      <c r="D33" s="63" t="str">
        <f t="shared" ca="1" si="10"/>
        <v/>
      </c>
      <c r="E33" s="65"/>
      <c r="F33" s="54" t="str">
        <f t="shared" ca="1" si="11"/>
        <v/>
      </c>
      <c r="G33" s="54" t="str">
        <f t="shared" ca="1" si="12"/>
        <v/>
      </c>
      <c r="H33" s="54" t="str">
        <f t="shared" ca="1" si="13"/>
        <v/>
      </c>
      <c r="I33" s="63" t="str">
        <f t="shared" ca="1" si="17"/>
        <v/>
      </c>
      <c r="J33" s="65"/>
      <c r="K33" s="63" t="str">
        <f t="shared" ca="1" si="14"/>
        <v/>
      </c>
      <c r="L33" s="65"/>
    </row>
  </sheetData>
  <phoneticPr fontId="11" type="noConversion"/>
  <pageMargins left="0.25" right="0.25" top="0.75" bottom="0.75" header="0.3" footer="0.3"/>
  <pageSetup paperSize="9" orientation="landscape" horizontalDpi="0" verticalDpi="0"/>
  <ignoredErrors>
    <ignoredError sqref="D13:D17 K13:K17 C2:C7 E2:E7 J2:J7 D2:D7 K2:K7"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B083F-170F-B541-A945-29694954E4A9}">
  <sheetPr>
    <tabColor rgb="FF00B0F0"/>
  </sheetPr>
  <dimension ref="A1:G67"/>
  <sheetViews>
    <sheetView showGridLines="0" zoomScale="130" zoomScaleNormal="130" workbookViewId="0">
      <selection activeCell="O18" sqref="O18"/>
    </sheetView>
  </sheetViews>
  <sheetFormatPr baseColWidth="10" defaultRowHeight="16" x14ac:dyDescent="0.2"/>
  <sheetData>
    <row r="1" spans="1:7" ht="16" customHeight="1" x14ac:dyDescent="0.2">
      <c r="A1" s="86" t="s">
        <v>149</v>
      </c>
      <c r="B1" s="86"/>
      <c r="C1" s="86"/>
      <c r="D1" s="86"/>
      <c r="E1" s="86"/>
      <c r="F1" s="86"/>
      <c r="G1" s="86"/>
    </row>
    <row r="2" spans="1:7" ht="16" customHeight="1" x14ac:dyDescent="0.2">
      <c r="A2" s="86"/>
      <c r="B2" s="86"/>
      <c r="C2" s="86"/>
      <c r="D2" s="86"/>
      <c r="E2" s="86"/>
      <c r="F2" s="86"/>
      <c r="G2" s="86"/>
    </row>
    <row r="3" spans="1:7" ht="16" customHeight="1" x14ac:dyDescent="0.2">
      <c r="A3" s="86"/>
      <c r="B3" s="86"/>
      <c r="C3" s="86"/>
      <c r="D3" s="86"/>
      <c r="E3" s="86"/>
      <c r="F3" s="86"/>
      <c r="G3" s="86"/>
    </row>
    <row r="4" spans="1:7" x14ac:dyDescent="0.2">
      <c r="A4" s="86"/>
      <c r="B4" s="86"/>
      <c r="C4" s="86"/>
      <c r="D4" s="86"/>
      <c r="E4" s="86"/>
      <c r="F4" s="86"/>
      <c r="G4" s="86"/>
    </row>
    <row r="52" spans="2:2" x14ac:dyDescent="0.2">
      <c r="B52" t="s">
        <v>161</v>
      </c>
    </row>
    <row r="67" spans="5:5" x14ac:dyDescent="0.2">
      <c r="E67" s="75"/>
    </row>
  </sheetData>
  <mergeCells count="1">
    <mergeCell ref="A1:G4"/>
  </mergeCells>
  <pageMargins left="0.7" right="0.7" top="0.75" bottom="0.75" header="0.3" footer="0.3"/>
  <pageSetup paperSize="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C58DD-F602-6544-9090-9566C011AF10}">
  <sheetPr>
    <tabColor rgb="FF00B0F0"/>
  </sheetPr>
  <dimension ref="A1:G67"/>
  <sheetViews>
    <sheetView showGridLines="0" zoomScale="130" zoomScaleNormal="130" workbookViewId="0">
      <selection activeCell="X40" sqref="X40"/>
    </sheetView>
  </sheetViews>
  <sheetFormatPr baseColWidth="10" defaultRowHeight="16" x14ac:dyDescent="0.2"/>
  <sheetData>
    <row r="1" spans="1:7" ht="16" customHeight="1" x14ac:dyDescent="0.2">
      <c r="A1" s="86" t="s">
        <v>143</v>
      </c>
      <c r="B1" s="86"/>
      <c r="C1" s="86"/>
      <c r="D1" s="86"/>
      <c r="E1" s="86"/>
      <c r="F1" s="86"/>
      <c r="G1" s="86"/>
    </row>
    <row r="2" spans="1:7" ht="16" customHeight="1" x14ac:dyDescent="0.2">
      <c r="A2" s="86"/>
      <c r="B2" s="86"/>
      <c r="C2" s="86"/>
      <c r="D2" s="86"/>
      <c r="E2" s="86"/>
      <c r="F2" s="86"/>
      <c r="G2" s="86"/>
    </row>
    <row r="3" spans="1:7" ht="16" customHeight="1" x14ac:dyDescent="0.2">
      <c r="A3" s="86"/>
      <c r="B3" s="86"/>
      <c r="C3" s="86"/>
      <c r="D3" s="86"/>
      <c r="E3" s="86"/>
      <c r="F3" s="86"/>
      <c r="G3" s="86"/>
    </row>
    <row r="4" spans="1:7" x14ac:dyDescent="0.2">
      <c r="A4" s="86"/>
      <c r="B4" s="86"/>
      <c r="C4" s="86"/>
      <c r="D4" s="86"/>
      <c r="E4" s="86"/>
      <c r="F4" s="86"/>
      <c r="G4" s="86"/>
    </row>
    <row r="67" spans="5:5" x14ac:dyDescent="0.2">
      <c r="E67" s="75"/>
    </row>
  </sheetData>
  <mergeCells count="1">
    <mergeCell ref="A1:G4"/>
  </mergeCells>
  <pageMargins left="0.7" right="0.7" top="0.75" bottom="0.75" header="0.3" footer="0.3"/>
  <pageSetup paperSize="9" orientation="portrait" horizontalDpi="0" verticalDpi="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C74DA-A252-2D4E-A170-336C92DEF8B4}">
  <sheetPr>
    <tabColor rgb="FF7030A0"/>
  </sheetPr>
  <dimension ref="A1:L63"/>
  <sheetViews>
    <sheetView showGridLines="0" tabSelected="1" zoomScale="130" zoomScaleNormal="130" workbookViewId="0">
      <selection activeCell="E16" sqref="E16"/>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164</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c r="L3" s="5"/>
    </row>
    <row r="4" spans="1:12" ht="16" customHeight="1" x14ac:dyDescent="0.2">
      <c r="A4" s="2"/>
      <c r="B4" s="2"/>
      <c r="C4" s="2"/>
      <c r="D4" s="2"/>
      <c r="E4" s="2"/>
      <c r="F4" s="2"/>
      <c r="G4" s="7"/>
      <c r="I4" s="44" t="s">
        <v>151</v>
      </c>
      <c r="J4" s="5" t="s">
        <v>10</v>
      </c>
      <c r="K4" s="6"/>
      <c r="L4" s="5"/>
    </row>
    <row r="5" spans="1:12" ht="16" customHeight="1" thickBot="1" x14ac:dyDescent="0.3">
      <c r="A5" s="83"/>
      <c r="B5" s="8" t="s">
        <v>11</v>
      </c>
      <c r="C5" s="9" t="s">
        <v>7</v>
      </c>
      <c r="D5" s="10"/>
      <c r="E5" s="9" t="s">
        <v>12</v>
      </c>
      <c r="F5" s="8" t="s">
        <v>7</v>
      </c>
      <c r="G5" s="7"/>
      <c r="I5" s="5"/>
      <c r="J5" s="5" t="s">
        <v>13</v>
      </c>
      <c r="K5" s="6"/>
      <c r="L5" s="5"/>
    </row>
    <row r="6" spans="1:12" x14ac:dyDescent="0.2">
      <c r="A6" s="7"/>
      <c r="B6" s="11" t="s">
        <v>14</v>
      </c>
      <c r="C6" s="12"/>
      <c r="D6" s="7"/>
      <c r="E6" s="13" t="s">
        <v>15</v>
      </c>
      <c r="F6" s="14"/>
      <c r="G6" s="7"/>
      <c r="I6" s="5"/>
      <c r="J6" s="5" t="s">
        <v>13</v>
      </c>
      <c r="K6" s="6"/>
      <c r="L6" s="5"/>
    </row>
    <row r="7" spans="1:12" x14ac:dyDescent="0.2">
      <c r="A7" s="7"/>
      <c r="B7" s="15" t="s">
        <v>16</v>
      </c>
      <c r="C7" s="16">
        <f>SUMIF(J:J,"kontanter",K:K)</f>
        <v>0</v>
      </c>
      <c r="D7" s="7"/>
      <c r="E7" s="17" t="s">
        <v>17</v>
      </c>
      <c r="F7" s="18">
        <f>SUMIF(J:J,"kreditkort",K:K)</f>
        <v>0</v>
      </c>
      <c r="G7" s="7"/>
      <c r="I7" s="5"/>
      <c r="J7" s="5" t="s">
        <v>18</v>
      </c>
      <c r="K7" s="6"/>
      <c r="L7" s="5"/>
    </row>
    <row r="8" spans="1:12" x14ac:dyDescent="0.2">
      <c r="A8" s="7"/>
      <c r="B8" s="15" t="s">
        <v>19</v>
      </c>
      <c r="C8" s="16">
        <f>SUMIF(J:J,"kortkonto",K:K)</f>
        <v>0</v>
      </c>
      <c r="D8" s="7"/>
      <c r="E8" s="17" t="s">
        <v>20</v>
      </c>
      <c r="F8" s="18">
        <f>SUMIF(J:J,"avbetalning",K:K)</f>
        <v>0</v>
      </c>
      <c r="G8" s="7"/>
      <c r="I8" s="5"/>
      <c r="J8" s="5" t="s">
        <v>18</v>
      </c>
      <c r="K8" s="87"/>
      <c r="L8" s="5"/>
    </row>
    <row r="9" spans="1:12" x14ac:dyDescent="0.2">
      <c r="A9" s="7"/>
      <c r="B9" s="15" t="s">
        <v>21</v>
      </c>
      <c r="C9" s="16">
        <f>SUMIF(J:J,"sparkonto",K:K)</f>
        <v>0</v>
      </c>
      <c r="D9" s="7"/>
      <c r="E9" s="17" t="s">
        <v>22</v>
      </c>
      <c r="F9" s="18">
        <f>SUMIF(J:J,"blancolån",K:K)</f>
        <v>0</v>
      </c>
      <c r="G9" s="7"/>
      <c r="I9" s="5" t="s">
        <v>25</v>
      </c>
      <c r="J9" s="5" t="s">
        <v>26</v>
      </c>
      <c r="K9" s="87"/>
    </row>
    <row r="10" spans="1:12" x14ac:dyDescent="0.2">
      <c r="A10" s="7"/>
      <c r="B10" s="15" t="s">
        <v>23</v>
      </c>
      <c r="C10" s="16">
        <f>SUMIF(J:J,"övrigt konto",K:K)</f>
        <v>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c r="L12" s="5"/>
    </row>
    <row r="13" spans="1:12" x14ac:dyDescent="0.2">
      <c r="A13" s="7"/>
      <c r="B13" s="15" t="s">
        <v>31</v>
      </c>
      <c r="C13" s="16">
        <f>SUMIF(J:J,"fonder",K:K)</f>
        <v>0</v>
      </c>
      <c r="D13" s="7"/>
      <c r="E13" s="13" t="s">
        <v>32</v>
      </c>
      <c r="F13" s="18"/>
      <c r="G13" s="7"/>
      <c r="I13" s="5" t="s">
        <v>34</v>
      </c>
      <c r="J13" s="5" t="s">
        <v>26</v>
      </c>
      <c r="K13" s="6"/>
      <c r="L13" s="5"/>
    </row>
    <row r="14" spans="1:12" x14ac:dyDescent="0.2">
      <c r="A14" s="7"/>
      <c r="B14" s="15" t="s">
        <v>33</v>
      </c>
      <c r="C14" s="16">
        <f>SUMIF(J:J,"aktier",K:K)</f>
        <v>0</v>
      </c>
      <c r="D14" s="7"/>
      <c r="E14" s="17" t="s">
        <v>169</v>
      </c>
      <c r="F14" s="18">
        <f>SUMIF(J:J,"bolån",K:K)</f>
        <v>0</v>
      </c>
      <c r="G14" s="7"/>
      <c r="I14" s="5" t="s">
        <v>36</v>
      </c>
      <c r="J14" s="5" t="s">
        <v>26</v>
      </c>
      <c r="K14" s="6"/>
      <c r="L14" s="5"/>
    </row>
    <row r="15" spans="1:12" x14ac:dyDescent="0.2">
      <c r="A15" s="7"/>
      <c r="B15" s="15" t="s">
        <v>35</v>
      </c>
      <c r="C15" s="16">
        <f>SUMIF(J:J,"råvaror",K:K)</f>
        <v>0</v>
      </c>
      <c r="D15" s="7"/>
      <c r="E15" s="17" t="s">
        <v>170</v>
      </c>
      <c r="F15" s="18">
        <f>SUMIF(J:J,"bolån fritid",K:K)</f>
        <v>0</v>
      </c>
      <c r="G15" s="7"/>
      <c r="I15" s="5" t="s">
        <v>40</v>
      </c>
      <c r="J15" s="5" t="s">
        <v>41</v>
      </c>
      <c r="K15" s="6"/>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0</v>
      </c>
      <c r="G20" s="7"/>
      <c r="I20" s="5" t="s">
        <v>51</v>
      </c>
      <c r="J20" s="5" t="s">
        <v>52</v>
      </c>
      <c r="K20" s="6"/>
      <c r="L20" s="44"/>
    </row>
    <row r="21" spans="1:12" x14ac:dyDescent="0.2">
      <c r="A21" s="7"/>
      <c r="B21" s="15" t="s">
        <v>49</v>
      </c>
      <c r="C21" s="16">
        <f>SUMIF(J:J,"bostad",K:K)</f>
        <v>0</v>
      </c>
      <c r="D21" s="7"/>
      <c r="E21" s="21"/>
      <c r="F21" s="21"/>
      <c r="G21" s="7"/>
      <c r="I21" s="44" t="s">
        <v>152</v>
      </c>
      <c r="J21" s="44" t="s">
        <v>153</v>
      </c>
      <c r="K21" s="6"/>
      <c r="L21" s="5"/>
    </row>
    <row r="22" spans="1:12" x14ac:dyDescent="0.2">
      <c r="A22" s="7"/>
      <c r="B22" s="15" t="s">
        <v>50</v>
      </c>
      <c r="C22" s="16">
        <f>SUMIF(J:J,"fritidshus",K:K)</f>
        <v>0</v>
      </c>
      <c r="D22" s="7"/>
      <c r="E22" s="22"/>
      <c r="F22" s="22"/>
      <c r="G22" s="7"/>
      <c r="I22" s="5" t="s">
        <v>154</v>
      </c>
      <c r="J22" s="5" t="s">
        <v>155</v>
      </c>
      <c r="K22" s="6"/>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c r="L24" s="5"/>
    </row>
    <row r="25" spans="1:12" ht="19" x14ac:dyDescent="0.25">
      <c r="A25" s="7"/>
      <c r="B25" s="11" t="s">
        <v>55</v>
      </c>
      <c r="C25" s="16"/>
      <c r="D25" s="7"/>
      <c r="E25" s="23" t="s">
        <v>54</v>
      </c>
      <c r="F25" s="24">
        <f>C31-F20</f>
        <v>0</v>
      </c>
      <c r="G25" s="7"/>
      <c r="I25" s="5" t="s">
        <v>60</v>
      </c>
      <c r="J25" s="5" t="s">
        <v>61</v>
      </c>
      <c r="K25" s="6"/>
      <c r="L25" s="5"/>
    </row>
    <row r="26" spans="1:12" x14ac:dyDescent="0.2">
      <c r="A26" s="7"/>
      <c r="B26" s="15" t="s">
        <v>56</v>
      </c>
      <c r="C26" s="16">
        <f>SUMIF(J:J,"företag",K:K)</f>
        <v>0</v>
      </c>
      <c r="D26" s="7"/>
      <c r="E26" s="22"/>
      <c r="F26" s="22"/>
      <c r="G26" s="7"/>
      <c r="I26" s="44" t="s">
        <v>156</v>
      </c>
      <c r="J26" s="5" t="s">
        <v>63</v>
      </c>
      <c r="K26" s="6"/>
      <c r="L26" s="5"/>
    </row>
    <row r="27" spans="1:12" x14ac:dyDescent="0.2">
      <c r="A27" s="7"/>
      <c r="B27" s="15" t="s">
        <v>59</v>
      </c>
      <c r="C27" s="16">
        <f>SUMIF(J:J,"hyresfastighet",K:K)</f>
        <v>0</v>
      </c>
      <c r="E27" s="22"/>
      <c r="F27" s="22"/>
      <c r="G27" s="7"/>
      <c r="I27" s="44" t="s">
        <v>64</v>
      </c>
      <c r="J27" s="5" t="s">
        <v>63</v>
      </c>
      <c r="K27" s="25"/>
      <c r="L27" s="5"/>
    </row>
    <row r="28" spans="1:12" x14ac:dyDescent="0.2">
      <c r="A28" s="7"/>
      <c r="B28" s="15" t="s">
        <v>62</v>
      </c>
      <c r="C28" s="16">
        <f>SUMIF(J:J,"tjänstepension",K:K)</f>
        <v>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0</v>
      </c>
      <c r="D31" s="7"/>
      <c r="E31" s="28" t="s">
        <v>66</v>
      </c>
      <c r="F31" s="29">
        <f>F20+F25</f>
        <v>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t="str">
        <f>IFERROR($F$25/$F$31,"")</f>
        <v/>
      </c>
      <c r="E45" s="1" t="s">
        <v>83</v>
      </c>
      <c r="F45" s="32">
        <f>$C$13+$C$14+$C$28</f>
        <v>0</v>
      </c>
      <c r="I45" s="1" t="s">
        <v>84</v>
      </c>
      <c r="J45" s="33"/>
    </row>
    <row r="46" spans="2:12" x14ac:dyDescent="0.2">
      <c r="B46" s="1" t="s">
        <v>85</v>
      </c>
      <c r="C46" s="31" t="str">
        <f>IFERROR($F$20/$C$31,"")</f>
        <v/>
      </c>
      <c r="E46" s="1" t="s">
        <v>158</v>
      </c>
      <c r="F46" s="34">
        <f>$F$45*0.04</f>
        <v>0</v>
      </c>
      <c r="I46" s="1" t="s">
        <v>86</v>
      </c>
      <c r="J46" s="90">
        <v>0.04</v>
      </c>
      <c r="L46" s="1" t="s">
        <v>87</v>
      </c>
    </row>
    <row r="47" spans="2:12" x14ac:dyDescent="0.2">
      <c r="B47" s="1" t="s">
        <v>88</v>
      </c>
      <c r="C47" s="31" t="str">
        <f>IFERROR(($F$14+$F$15+$F$16)/($C$21+$C$22+$C$27),"")</f>
        <v/>
      </c>
      <c r="E47" s="1" t="s">
        <v>89</v>
      </c>
      <c r="F47" s="31" t="str">
        <f>IFERROR($F$45/$J$48,"")</f>
        <v/>
      </c>
      <c r="I47" s="1" t="s">
        <v>90</v>
      </c>
      <c r="J47" s="35"/>
      <c r="L47" s="1" t="s">
        <v>91</v>
      </c>
    </row>
    <row r="48" spans="2:12" x14ac:dyDescent="0.2">
      <c r="B48" s="1" t="s">
        <v>92</v>
      </c>
      <c r="C48" s="36" t="str">
        <f>IFERROR(ROUND(IFERROR(SUM($C$7:$C$15)/$J$45,""),2),"")</f>
        <v/>
      </c>
      <c r="E48" s="1" t="s">
        <v>93</v>
      </c>
      <c r="F48" s="36" t="str">
        <f>IFERROR(ROUND(F45/(J45*12),2),"")</f>
        <v/>
      </c>
      <c r="I48" s="1" t="s">
        <v>94</v>
      </c>
      <c r="J48" s="34">
        <f>((J45-J47)*12)/J46</f>
        <v>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0</v>
      </c>
    </row>
    <row r="53" spans="2:11" x14ac:dyDescent="0.2">
      <c r="I53" s="1" t="s">
        <v>97</v>
      </c>
      <c r="K53" s="34">
        <f>SUM(C13:C14)+C28</f>
        <v>0</v>
      </c>
    </row>
    <row r="54" spans="2:11" x14ac:dyDescent="0.2">
      <c r="C54" s="38"/>
      <c r="I54" s="1" t="s">
        <v>98</v>
      </c>
      <c r="K54" s="34">
        <f>C21+C22+C27-F14-F15-F16</f>
        <v>0</v>
      </c>
    </row>
    <row r="55" spans="2:11" x14ac:dyDescent="0.2">
      <c r="I55" s="1" t="s">
        <v>99</v>
      </c>
      <c r="K55" s="34">
        <f>C15+C18+C23+C26+C29</f>
        <v>0</v>
      </c>
    </row>
    <row r="56" spans="2:11" ht="19" x14ac:dyDescent="0.25">
      <c r="B56" s="37"/>
      <c r="K56" s="34"/>
    </row>
    <row r="57" spans="2:11" x14ac:dyDescent="0.2">
      <c r="C57" s="34"/>
      <c r="I57" s="1" t="s">
        <v>100</v>
      </c>
      <c r="K57" s="34">
        <f>SUM(C7:C18)</f>
        <v>0</v>
      </c>
    </row>
    <row r="58" spans="2:11" x14ac:dyDescent="0.2">
      <c r="C58" s="39"/>
      <c r="I58" s="1" t="s">
        <v>101</v>
      </c>
      <c r="K58" s="34">
        <f>SUM(C21:C29)-SUM(F14:F16)-F10</f>
        <v>0</v>
      </c>
    </row>
    <row r="60" spans="2:11" x14ac:dyDescent="0.2">
      <c r="C60" s="40"/>
      <c r="I60" s="1" t="s">
        <v>11</v>
      </c>
      <c r="K60" s="41">
        <f>C31</f>
        <v>0</v>
      </c>
    </row>
    <row r="61" spans="2:11" x14ac:dyDescent="0.2">
      <c r="I61" s="1" t="s">
        <v>102</v>
      </c>
      <c r="K61" s="41">
        <f>F20</f>
        <v>0</v>
      </c>
    </row>
    <row r="63" spans="2:11" x14ac:dyDescent="0.2">
      <c r="I63" s="42" t="s">
        <v>110</v>
      </c>
      <c r="K63" s="34">
        <f>C13+C14</f>
        <v>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B0F4A-0D55-E340-9E5D-3E7A8646B4DE}">
  <sheetPr>
    <tabColor rgb="FF7030A0"/>
  </sheetPr>
  <dimension ref="A1:L63"/>
  <sheetViews>
    <sheetView showGridLines="0" topLeftCell="A8" zoomScale="130" zoomScaleNormal="130" workbookViewId="0">
      <selection activeCell="E16" sqref="E16"/>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165</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c r="L3" s="5"/>
    </row>
    <row r="4" spans="1:12" ht="16" customHeight="1" x14ac:dyDescent="0.2">
      <c r="A4" s="2"/>
      <c r="B4" s="2"/>
      <c r="C4" s="2"/>
      <c r="D4" s="2"/>
      <c r="E4" s="2"/>
      <c r="F4" s="2"/>
      <c r="G4" s="7"/>
      <c r="I4" s="44" t="s">
        <v>151</v>
      </c>
      <c r="J4" s="5" t="s">
        <v>10</v>
      </c>
      <c r="K4" s="6"/>
      <c r="L4" s="5"/>
    </row>
    <row r="5" spans="1:12" ht="16" customHeight="1" thickBot="1" x14ac:dyDescent="0.3">
      <c r="A5" s="83"/>
      <c r="B5" s="8" t="s">
        <v>11</v>
      </c>
      <c r="C5" s="9" t="s">
        <v>7</v>
      </c>
      <c r="D5" s="10"/>
      <c r="E5" s="9" t="s">
        <v>12</v>
      </c>
      <c r="F5" s="8" t="s">
        <v>7</v>
      </c>
      <c r="G5" s="7"/>
      <c r="I5" s="5"/>
      <c r="J5" s="5" t="s">
        <v>13</v>
      </c>
      <c r="K5" s="6"/>
      <c r="L5" s="5"/>
    </row>
    <row r="6" spans="1:12" x14ac:dyDescent="0.2">
      <c r="A6" s="7"/>
      <c r="B6" s="11" t="s">
        <v>14</v>
      </c>
      <c r="C6" s="12"/>
      <c r="D6" s="7"/>
      <c r="E6" s="13" t="s">
        <v>15</v>
      </c>
      <c r="F6" s="14"/>
      <c r="G6" s="7"/>
      <c r="I6" s="5"/>
      <c r="J6" s="5" t="s">
        <v>13</v>
      </c>
      <c r="K6" s="6"/>
      <c r="L6" s="5"/>
    </row>
    <row r="7" spans="1:12" x14ac:dyDescent="0.2">
      <c r="A7" s="7"/>
      <c r="B7" s="15" t="s">
        <v>16</v>
      </c>
      <c r="C7" s="16">
        <f>SUMIF(J:J,"kontanter",K:K)</f>
        <v>0</v>
      </c>
      <c r="D7" s="7"/>
      <c r="E7" s="17" t="s">
        <v>17</v>
      </c>
      <c r="F7" s="18">
        <f>SUMIF(J:J,"kreditkort",K:K)</f>
        <v>0</v>
      </c>
      <c r="G7" s="7"/>
      <c r="I7" s="5"/>
      <c r="J7" s="5" t="s">
        <v>18</v>
      </c>
      <c r="K7" s="6"/>
      <c r="L7" s="5"/>
    </row>
    <row r="8" spans="1:12" x14ac:dyDescent="0.2">
      <c r="A8" s="7"/>
      <c r="B8" s="15" t="s">
        <v>19</v>
      </c>
      <c r="C8" s="16">
        <f>SUMIF(J:J,"kortkonto",K:K)</f>
        <v>0</v>
      </c>
      <c r="D8" s="7"/>
      <c r="E8" s="17" t="s">
        <v>20</v>
      </c>
      <c r="F8" s="18">
        <f>SUMIF(J:J,"avbetalning",K:K)</f>
        <v>0</v>
      </c>
      <c r="G8" s="7"/>
      <c r="I8" s="5"/>
      <c r="J8" s="5" t="s">
        <v>18</v>
      </c>
      <c r="K8" s="87"/>
      <c r="L8" s="5"/>
    </row>
    <row r="9" spans="1:12" x14ac:dyDescent="0.2">
      <c r="A9" s="7"/>
      <c r="B9" s="15" t="s">
        <v>21</v>
      </c>
      <c r="C9" s="16">
        <f>SUMIF(J:J,"sparkonto",K:K)</f>
        <v>0</v>
      </c>
      <c r="D9" s="7"/>
      <c r="E9" s="17" t="s">
        <v>22</v>
      </c>
      <c r="F9" s="18">
        <f>SUMIF(J:J,"blancolån",K:K)</f>
        <v>0</v>
      </c>
      <c r="G9" s="7"/>
      <c r="I9" s="5" t="s">
        <v>25</v>
      </c>
      <c r="J9" s="5" t="s">
        <v>26</v>
      </c>
      <c r="K9" s="87"/>
    </row>
    <row r="10" spans="1:12" x14ac:dyDescent="0.2">
      <c r="A10" s="7"/>
      <c r="B10" s="15" t="s">
        <v>23</v>
      </c>
      <c r="C10" s="16">
        <f>SUMIF(J:J,"övrigt konto",K:K)</f>
        <v>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c r="L12" s="5"/>
    </row>
    <row r="13" spans="1:12" x14ac:dyDescent="0.2">
      <c r="A13" s="7"/>
      <c r="B13" s="15" t="s">
        <v>31</v>
      </c>
      <c r="C13" s="16">
        <f>SUMIF(J:J,"fonder",K:K)</f>
        <v>0</v>
      </c>
      <c r="D13" s="7"/>
      <c r="E13" s="13" t="s">
        <v>32</v>
      </c>
      <c r="F13" s="18"/>
      <c r="G13" s="7"/>
      <c r="I13" s="5" t="s">
        <v>34</v>
      </c>
      <c r="J13" s="5" t="s">
        <v>26</v>
      </c>
      <c r="K13" s="6"/>
      <c r="L13" s="5"/>
    </row>
    <row r="14" spans="1:12" x14ac:dyDescent="0.2">
      <c r="A14" s="7"/>
      <c r="B14" s="15" t="s">
        <v>33</v>
      </c>
      <c r="C14" s="16">
        <f>SUMIF(J:J,"aktier",K:K)</f>
        <v>0</v>
      </c>
      <c r="D14" s="7"/>
      <c r="E14" s="17" t="s">
        <v>169</v>
      </c>
      <c r="F14" s="18">
        <f>SUMIF(J:J,"bolån",K:K)</f>
        <v>0</v>
      </c>
      <c r="G14" s="7"/>
      <c r="I14" s="5" t="s">
        <v>36</v>
      </c>
      <c r="J14" s="5" t="s">
        <v>26</v>
      </c>
      <c r="K14" s="6"/>
      <c r="L14" s="5"/>
    </row>
    <row r="15" spans="1:12" x14ac:dyDescent="0.2">
      <c r="A15" s="7"/>
      <c r="B15" s="15" t="s">
        <v>35</v>
      </c>
      <c r="C15" s="16">
        <f>SUMIF(J:J,"råvaror",K:K)</f>
        <v>0</v>
      </c>
      <c r="D15" s="7"/>
      <c r="E15" s="17" t="s">
        <v>170</v>
      </c>
      <c r="F15" s="18">
        <f>SUMIF(J:J,"bolån fritid",K:K)</f>
        <v>0</v>
      </c>
      <c r="G15" s="7"/>
      <c r="I15" s="5" t="s">
        <v>40</v>
      </c>
      <c r="J15" s="5" t="s">
        <v>41</v>
      </c>
      <c r="K15" s="6"/>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0</v>
      </c>
      <c r="G20" s="7"/>
      <c r="I20" s="5" t="s">
        <v>51</v>
      </c>
      <c r="J20" s="5" t="s">
        <v>52</v>
      </c>
      <c r="K20" s="6"/>
      <c r="L20" s="44"/>
    </row>
    <row r="21" spans="1:12" x14ac:dyDescent="0.2">
      <c r="A21" s="7"/>
      <c r="B21" s="15" t="s">
        <v>49</v>
      </c>
      <c r="C21" s="16">
        <f>SUMIF(J:J,"bostad",K:K)</f>
        <v>0</v>
      </c>
      <c r="D21" s="7"/>
      <c r="E21" s="21"/>
      <c r="F21" s="21"/>
      <c r="G21" s="7"/>
      <c r="I21" s="44" t="s">
        <v>152</v>
      </c>
      <c r="J21" s="44" t="s">
        <v>153</v>
      </c>
      <c r="K21" s="6"/>
      <c r="L21" s="5"/>
    </row>
    <row r="22" spans="1:12" x14ac:dyDescent="0.2">
      <c r="A22" s="7"/>
      <c r="B22" s="15" t="s">
        <v>50</v>
      </c>
      <c r="C22" s="16">
        <f>SUMIF(J:J,"fritidshus",K:K)</f>
        <v>0</v>
      </c>
      <c r="D22" s="7"/>
      <c r="E22" s="22"/>
      <c r="F22" s="22"/>
      <c r="G22" s="7"/>
      <c r="I22" s="5" t="s">
        <v>154</v>
      </c>
      <c r="J22" s="5" t="s">
        <v>155</v>
      </c>
      <c r="K22" s="6"/>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c r="L24" s="5"/>
    </row>
    <row r="25" spans="1:12" ht="19" x14ac:dyDescent="0.25">
      <c r="A25" s="7"/>
      <c r="B25" s="11" t="s">
        <v>55</v>
      </c>
      <c r="C25" s="16"/>
      <c r="D25" s="7"/>
      <c r="E25" s="23" t="s">
        <v>54</v>
      </c>
      <c r="F25" s="24">
        <f>C31-F20</f>
        <v>0</v>
      </c>
      <c r="G25" s="7"/>
      <c r="I25" s="5" t="s">
        <v>60</v>
      </c>
      <c r="J25" s="5" t="s">
        <v>61</v>
      </c>
      <c r="K25" s="6"/>
      <c r="L25" s="5"/>
    </row>
    <row r="26" spans="1:12" x14ac:dyDescent="0.2">
      <c r="A26" s="7"/>
      <c r="B26" s="15" t="s">
        <v>56</v>
      </c>
      <c r="C26" s="16">
        <f>SUMIF(J:J,"företag",K:K)</f>
        <v>0</v>
      </c>
      <c r="D26" s="7"/>
      <c r="E26" s="22"/>
      <c r="F26" s="22"/>
      <c r="G26" s="7"/>
      <c r="I26" s="44" t="s">
        <v>156</v>
      </c>
      <c r="J26" s="5" t="s">
        <v>63</v>
      </c>
      <c r="K26" s="6"/>
      <c r="L26" s="5"/>
    </row>
    <row r="27" spans="1:12" x14ac:dyDescent="0.2">
      <c r="A27" s="7"/>
      <c r="B27" s="15" t="s">
        <v>59</v>
      </c>
      <c r="C27" s="16">
        <f>SUMIF(J:J,"hyresfastighet",K:K)</f>
        <v>0</v>
      </c>
      <c r="E27" s="22"/>
      <c r="F27" s="22"/>
      <c r="G27" s="7"/>
      <c r="I27" s="44" t="s">
        <v>64</v>
      </c>
      <c r="J27" s="5" t="s">
        <v>63</v>
      </c>
      <c r="K27" s="25"/>
      <c r="L27" s="5"/>
    </row>
    <row r="28" spans="1:12" x14ac:dyDescent="0.2">
      <c r="A28" s="7"/>
      <c r="B28" s="15" t="s">
        <v>62</v>
      </c>
      <c r="C28" s="16">
        <f>SUMIF(J:J,"tjänstepension",K:K)</f>
        <v>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0</v>
      </c>
      <c r="D31" s="7"/>
      <c r="E31" s="28" t="s">
        <v>66</v>
      </c>
      <c r="F31" s="29">
        <f>F20+F25</f>
        <v>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t="str">
        <f>IFERROR($F$25/$F$31,"")</f>
        <v/>
      </c>
      <c r="E45" s="1" t="s">
        <v>83</v>
      </c>
      <c r="F45" s="32">
        <f>$C$13+$C$14+$C$28</f>
        <v>0</v>
      </c>
      <c r="I45" s="1" t="s">
        <v>84</v>
      </c>
      <c r="J45" s="33"/>
    </row>
    <row r="46" spans="2:12" x14ac:dyDescent="0.2">
      <c r="B46" s="1" t="s">
        <v>85</v>
      </c>
      <c r="C46" s="31" t="str">
        <f>IFERROR($F$20/$C$31,"")</f>
        <v/>
      </c>
      <c r="E46" s="1" t="s">
        <v>158</v>
      </c>
      <c r="F46" s="34">
        <f>$F$45*0.04</f>
        <v>0</v>
      </c>
      <c r="I46" s="1" t="s">
        <v>86</v>
      </c>
      <c r="J46" s="88">
        <v>0.04</v>
      </c>
      <c r="L46" s="1" t="s">
        <v>87</v>
      </c>
    </row>
    <row r="47" spans="2:12" x14ac:dyDescent="0.2">
      <c r="B47" s="1" t="s">
        <v>88</v>
      </c>
      <c r="C47" s="31" t="str">
        <f>IFERROR(($F$14+$F$15+$F$16)/($C$21+$C$22+$C$27),"")</f>
        <v/>
      </c>
      <c r="E47" s="1" t="s">
        <v>89</v>
      </c>
      <c r="F47" s="31" t="str">
        <f>IFERROR($F$45/$J$48,"")</f>
        <v/>
      </c>
      <c r="I47" s="1" t="s">
        <v>90</v>
      </c>
      <c r="J47" s="35"/>
      <c r="L47" s="1" t="s">
        <v>91</v>
      </c>
    </row>
    <row r="48" spans="2:12" x14ac:dyDescent="0.2">
      <c r="B48" s="1" t="s">
        <v>92</v>
      </c>
      <c r="C48" s="36" t="str">
        <f>IFERROR(ROUND(IFERROR(SUM($C$7:$C$15)/$J$45,""),2),"")</f>
        <v/>
      </c>
      <c r="E48" s="1" t="s">
        <v>93</v>
      </c>
      <c r="F48" s="36" t="str">
        <f>IFERROR(ROUND(F45/(J45*12),2),"")</f>
        <v/>
      </c>
      <c r="I48" s="1" t="s">
        <v>94</v>
      </c>
      <c r="J48" s="34">
        <f>((J45-J47)*12)/J46</f>
        <v>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0</v>
      </c>
    </row>
    <row r="53" spans="2:11" x14ac:dyDescent="0.2">
      <c r="I53" s="1" t="s">
        <v>97</v>
      </c>
      <c r="K53" s="34">
        <f>SUM(C13:C14)+C28</f>
        <v>0</v>
      </c>
    </row>
    <row r="54" spans="2:11" x14ac:dyDescent="0.2">
      <c r="C54" s="38"/>
      <c r="I54" s="1" t="s">
        <v>98</v>
      </c>
      <c r="K54" s="34">
        <f>C21+C22+C27-F14-F15-F16</f>
        <v>0</v>
      </c>
    </row>
    <row r="55" spans="2:11" x14ac:dyDescent="0.2">
      <c r="I55" s="1" t="s">
        <v>99</v>
      </c>
      <c r="K55" s="34">
        <f>C15+C18+C23+C26+C29</f>
        <v>0</v>
      </c>
    </row>
    <row r="56" spans="2:11" ht="19" x14ac:dyDescent="0.25">
      <c r="B56" s="37"/>
      <c r="K56" s="34"/>
    </row>
    <row r="57" spans="2:11" x14ac:dyDescent="0.2">
      <c r="C57" s="34"/>
      <c r="I57" s="1" t="s">
        <v>100</v>
      </c>
      <c r="K57" s="34">
        <f>SUM(C7:C18)</f>
        <v>0</v>
      </c>
    </row>
    <row r="58" spans="2:11" x14ac:dyDescent="0.2">
      <c r="C58" s="39"/>
      <c r="I58" s="1" t="s">
        <v>101</v>
      </c>
      <c r="K58" s="34">
        <f>SUM(C21:C29)-SUM(F14:F16)-F10</f>
        <v>0</v>
      </c>
    </row>
    <row r="60" spans="2:11" x14ac:dyDescent="0.2">
      <c r="C60" s="40"/>
      <c r="I60" s="1" t="s">
        <v>11</v>
      </c>
      <c r="K60" s="41">
        <f>C31</f>
        <v>0</v>
      </c>
    </row>
    <row r="61" spans="2:11" x14ac:dyDescent="0.2">
      <c r="I61" s="1" t="s">
        <v>102</v>
      </c>
      <c r="K61" s="41">
        <f>F20</f>
        <v>0</v>
      </c>
    </row>
    <row r="63" spans="2:11" x14ac:dyDescent="0.2">
      <c r="I63" s="42" t="s">
        <v>110</v>
      </c>
      <c r="K63" s="34">
        <f>C13+C14</f>
        <v>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D9D0F-C17E-1D49-BE61-D5C5677917B5}">
  <sheetPr>
    <tabColor rgb="FF7030A0"/>
  </sheetPr>
  <dimension ref="A1:L63"/>
  <sheetViews>
    <sheetView showGridLines="0" topLeftCell="A12" zoomScale="130" zoomScaleNormal="130" workbookViewId="0">
      <selection activeCell="E16" sqref="E16"/>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166</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c r="L3" s="5"/>
    </row>
    <row r="4" spans="1:12" ht="16" customHeight="1" x14ac:dyDescent="0.2">
      <c r="A4" s="2"/>
      <c r="B4" s="2"/>
      <c r="C4" s="2"/>
      <c r="D4" s="2"/>
      <c r="E4" s="2"/>
      <c r="F4" s="2"/>
      <c r="G4" s="7"/>
      <c r="I4" s="44" t="s">
        <v>151</v>
      </c>
      <c r="J4" s="5" t="s">
        <v>10</v>
      </c>
      <c r="K4" s="6"/>
      <c r="L4" s="5"/>
    </row>
    <row r="5" spans="1:12" ht="16" customHeight="1" thickBot="1" x14ac:dyDescent="0.3">
      <c r="A5" s="83"/>
      <c r="B5" s="8" t="s">
        <v>11</v>
      </c>
      <c r="C5" s="9" t="s">
        <v>7</v>
      </c>
      <c r="D5" s="10"/>
      <c r="E5" s="9" t="s">
        <v>12</v>
      </c>
      <c r="F5" s="8" t="s">
        <v>7</v>
      </c>
      <c r="G5" s="7"/>
      <c r="I5" s="5"/>
      <c r="J5" s="5" t="s">
        <v>13</v>
      </c>
      <c r="K5" s="6"/>
      <c r="L5" s="5"/>
    </row>
    <row r="6" spans="1:12" x14ac:dyDescent="0.2">
      <c r="A6" s="7"/>
      <c r="B6" s="11" t="s">
        <v>14</v>
      </c>
      <c r="C6" s="12"/>
      <c r="D6" s="7"/>
      <c r="E6" s="13" t="s">
        <v>15</v>
      </c>
      <c r="F6" s="14"/>
      <c r="G6" s="7"/>
      <c r="I6" s="5"/>
      <c r="J6" s="5" t="s">
        <v>13</v>
      </c>
      <c r="K6" s="6"/>
      <c r="L6" s="5"/>
    </row>
    <row r="7" spans="1:12" x14ac:dyDescent="0.2">
      <c r="A7" s="7"/>
      <c r="B7" s="15" t="s">
        <v>16</v>
      </c>
      <c r="C7" s="16">
        <f>SUMIF(J:J,"kontanter",K:K)</f>
        <v>0</v>
      </c>
      <c r="D7" s="7"/>
      <c r="E7" s="17" t="s">
        <v>17</v>
      </c>
      <c r="F7" s="18">
        <f>SUMIF(J:J,"kreditkort",K:K)</f>
        <v>0</v>
      </c>
      <c r="G7" s="7"/>
      <c r="I7" s="5"/>
      <c r="J7" s="5" t="s">
        <v>18</v>
      </c>
      <c r="K7" s="6"/>
      <c r="L7" s="5"/>
    </row>
    <row r="8" spans="1:12" x14ac:dyDescent="0.2">
      <c r="A8" s="7"/>
      <c r="B8" s="15" t="s">
        <v>19</v>
      </c>
      <c r="C8" s="16">
        <f>SUMIF(J:J,"kortkonto",K:K)</f>
        <v>0</v>
      </c>
      <c r="D8" s="7"/>
      <c r="E8" s="17" t="s">
        <v>20</v>
      </c>
      <c r="F8" s="18">
        <f>SUMIF(J:J,"avbetalning",K:K)</f>
        <v>0</v>
      </c>
      <c r="G8" s="7"/>
      <c r="I8" s="5"/>
      <c r="J8" s="5" t="s">
        <v>18</v>
      </c>
      <c r="K8" s="87"/>
      <c r="L8" s="5"/>
    </row>
    <row r="9" spans="1:12" x14ac:dyDescent="0.2">
      <c r="A9" s="7"/>
      <c r="B9" s="15" t="s">
        <v>21</v>
      </c>
      <c r="C9" s="16">
        <f>SUMIF(J:J,"sparkonto",K:K)</f>
        <v>0</v>
      </c>
      <c r="D9" s="7"/>
      <c r="E9" s="17" t="s">
        <v>22</v>
      </c>
      <c r="F9" s="18">
        <f>SUMIF(J:J,"blancolån",K:K)</f>
        <v>0</v>
      </c>
      <c r="G9" s="7"/>
      <c r="I9" s="5" t="s">
        <v>25</v>
      </c>
      <c r="J9" s="5" t="s">
        <v>26</v>
      </c>
      <c r="K9" s="87"/>
    </row>
    <row r="10" spans="1:12" x14ac:dyDescent="0.2">
      <c r="A10" s="7"/>
      <c r="B10" s="15" t="s">
        <v>23</v>
      </c>
      <c r="C10" s="16">
        <f>SUMIF(J:J,"övrigt konto",K:K)</f>
        <v>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c r="L12" s="5"/>
    </row>
    <row r="13" spans="1:12" x14ac:dyDescent="0.2">
      <c r="A13" s="7"/>
      <c r="B13" s="15" t="s">
        <v>31</v>
      </c>
      <c r="C13" s="16">
        <f>SUMIF(J:J,"fonder",K:K)</f>
        <v>0</v>
      </c>
      <c r="D13" s="7"/>
      <c r="E13" s="13" t="s">
        <v>32</v>
      </c>
      <c r="F13" s="18"/>
      <c r="G13" s="7"/>
      <c r="I13" s="5" t="s">
        <v>34</v>
      </c>
      <c r="J13" s="5" t="s">
        <v>26</v>
      </c>
      <c r="K13" s="6"/>
      <c r="L13" s="5"/>
    </row>
    <row r="14" spans="1:12" x14ac:dyDescent="0.2">
      <c r="A14" s="7"/>
      <c r="B14" s="15" t="s">
        <v>33</v>
      </c>
      <c r="C14" s="16">
        <f>SUMIF(J:J,"aktier",K:K)</f>
        <v>0</v>
      </c>
      <c r="D14" s="7"/>
      <c r="E14" s="17" t="s">
        <v>169</v>
      </c>
      <c r="F14" s="18">
        <f>SUMIF(J:J,"bolån",K:K)</f>
        <v>0</v>
      </c>
      <c r="G14" s="7"/>
      <c r="I14" s="5" t="s">
        <v>36</v>
      </c>
      <c r="J14" s="5" t="s">
        <v>26</v>
      </c>
      <c r="K14" s="6"/>
      <c r="L14" s="5"/>
    </row>
    <row r="15" spans="1:12" x14ac:dyDescent="0.2">
      <c r="A15" s="7"/>
      <c r="B15" s="15" t="s">
        <v>35</v>
      </c>
      <c r="C15" s="16">
        <f>SUMIF(J:J,"råvaror",K:K)</f>
        <v>0</v>
      </c>
      <c r="D15" s="7"/>
      <c r="E15" s="17" t="s">
        <v>170</v>
      </c>
      <c r="F15" s="18">
        <f>SUMIF(J:J,"bolån fritid",K:K)</f>
        <v>0</v>
      </c>
      <c r="G15" s="7"/>
      <c r="I15" s="5" t="s">
        <v>40</v>
      </c>
      <c r="J15" s="5" t="s">
        <v>41</v>
      </c>
      <c r="K15" s="6"/>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0</v>
      </c>
      <c r="G20" s="7"/>
      <c r="I20" s="5" t="s">
        <v>51</v>
      </c>
      <c r="J20" s="5" t="s">
        <v>52</v>
      </c>
      <c r="K20" s="6"/>
      <c r="L20" s="44"/>
    </row>
    <row r="21" spans="1:12" x14ac:dyDescent="0.2">
      <c r="A21" s="7"/>
      <c r="B21" s="15" t="s">
        <v>49</v>
      </c>
      <c r="C21" s="16">
        <f>SUMIF(J:J,"bostad",K:K)</f>
        <v>0</v>
      </c>
      <c r="D21" s="7"/>
      <c r="E21" s="21"/>
      <c r="F21" s="21"/>
      <c r="G21" s="7"/>
      <c r="I21" s="44" t="s">
        <v>152</v>
      </c>
      <c r="J21" s="44" t="s">
        <v>153</v>
      </c>
      <c r="K21" s="6"/>
      <c r="L21" s="5"/>
    </row>
    <row r="22" spans="1:12" x14ac:dyDescent="0.2">
      <c r="A22" s="7"/>
      <c r="B22" s="15" t="s">
        <v>50</v>
      </c>
      <c r="C22" s="16">
        <f>SUMIF(J:J,"fritidshus",K:K)</f>
        <v>0</v>
      </c>
      <c r="D22" s="7"/>
      <c r="E22" s="22"/>
      <c r="F22" s="22"/>
      <c r="G22" s="7"/>
      <c r="I22" s="5" t="s">
        <v>154</v>
      </c>
      <c r="J22" s="5" t="s">
        <v>155</v>
      </c>
      <c r="K22" s="6"/>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c r="L24" s="5"/>
    </row>
    <row r="25" spans="1:12" ht="19" x14ac:dyDescent="0.25">
      <c r="A25" s="7"/>
      <c r="B25" s="11" t="s">
        <v>55</v>
      </c>
      <c r="C25" s="16"/>
      <c r="D25" s="7"/>
      <c r="E25" s="23" t="s">
        <v>54</v>
      </c>
      <c r="F25" s="24">
        <f>C31-F20</f>
        <v>0</v>
      </c>
      <c r="G25" s="7"/>
      <c r="I25" s="5" t="s">
        <v>60</v>
      </c>
      <c r="J25" s="5" t="s">
        <v>61</v>
      </c>
      <c r="K25" s="6"/>
      <c r="L25" s="5"/>
    </row>
    <row r="26" spans="1:12" x14ac:dyDescent="0.2">
      <c r="A26" s="7"/>
      <c r="B26" s="15" t="s">
        <v>56</v>
      </c>
      <c r="C26" s="16">
        <f>SUMIF(J:J,"företag",K:K)</f>
        <v>0</v>
      </c>
      <c r="D26" s="7"/>
      <c r="E26" s="22"/>
      <c r="F26" s="22"/>
      <c r="G26" s="7"/>
      <c r="I26" s="44" t="s">
        <v>156</v>
      </c>
      <c r="J26" s="5" t="s">
        <v>63</v>
      </c>
      <c r="K26" s="6"/>
      <c r="L26" s="5"/>
    </row>
    <row r="27" spans="1:12" x14ac:dyDescent="0.2">
      <c r="A27" s="7"/>
      <c r="B27" s="15" t="s">
        <v>59</v>
      </c>
      <c r="C27" s="16">
        <f>SUMIF(J:J,"hyresfastighet",K:K)</f>
        <v>0</v>
      </c>
      <c r="E27" s="22"/>
      <c r="F27" s="22"/>
      <c r="G27" s="7"/>
      <c r="I27" s="44" t="s">
        <v>64</v>
      </c>
      <c r="J27" s="5" t="s">
        <v>63</v>
      </c>
      <c r="K27" s="25"/>
      <c r="L27" s="5"/>
    </row>
    <row r="28" spans="1:12" x14ac:dyDescent="0.2">
      <c r="A28" s="7"/>
      <c r="B28" s="15" t="s">
        <v>62</v>
      </c>
      <c r="C28" s="16">
        <f>SUMIF(J:J,"tjänstepension",K:K)</f>
        <v>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0</v>
      </c>
      <c r="D31" s="7"/>
      <c r="E31" s="28" t="s">
        <v>66</v>
      </c>
      <c r="F31" s="29">
        <f>F20+F25</f>
        <v>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t="str">
        <f>IFERROR($F$25/$F$31,"")</f>
        <v/>
      </c>
      <c r="E45" s="1" t="s">
        <v>83</v>
      </c>
      <c r="F45" s="32">
        <f>$C$13+$C$14+$C$28</f>
        <v>0</v>
      </c>
      <c r="I45" s="1" t="s">
        <v>84</v>
      </c>
      <c r="J45" s="33"/>
    </row>
    <row r="46" spans="2:12" x14ac:dyDescent="0.2">
      <c r="B46" s="1" t="s">
        <v>85</v>
      </c>
      <c r="C46" s="31" t="str">
        <f>IFERROR($F$20/$C$31,"")</f>
        <v/>
      </c>
      <c r="E46" s="1" t="s">
        <v>158</v>
      </c>
      <c r="F46" s="34">
        <f>$F$45*0.04</f>
        <v>0</v>
      </c>
      <c r="I46" s="1" t="s">
        <v>86</v>
      </c>
      <c r="J46" s="88">
        <v>0.04</v>
      </c>
      <c r="L46" s="1" t="s">
        <v>87</v>
      </c>
    </row>
    <row r="47" spans="2:12" x14ac:dyDescent="0.2">
      <c r="B47" s="1" t="s">
        <v>88</v>
      </c>
      <c r="C47" s="31" t="str">
        <f>IFERROR(($F$14+$F$15+$F$16)/($C$21+$C$22+$C$27),"")</f>
        <v/>
      </c>
      <c r="E47" s="1" t="s">
        <v>89</v>
      </c>
      <c r="F47" s="31" t="str">
        <f>IFERROR($F$45/$J$48,"")</f>
        <v/>
      </c>
      <c r="I47" s="1" t="s">
        <v>90</v>
      </c>
      <c r="J47" s="35"/>
      <c r="L47" s="1" t="s">
        <v>91</v>
      </c>
    </row>
    <row r="48" spans="2:12" x14ac:dyDescent="0.2">
      <c r="B48" s="1" t="s">
        <v>92</v>
      </c>
      <c r="C48" s="36" t="str">
        <f>IFERROR(ROUND(IFERROR(SUM($C$7:$C$15)/$J$45,""),2),"")</f>
        <v/>
      </c>
      <c r="E48" s="1" t="s">
        <v>93</v>
      </c>
      <c r="F48" s="36" t="str">
        <f>IFERROR(ROUND(F45/(J45*12),2),"")</f>
        <v/>
      </c>
      <c r="I48" s="1" t="s">
        <v>94</v>
      </c>
      <c r="J48" s="34">
        <f>((J45-J47)*12)/J46</f>
        <v>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0</v>
      </c>
    </row>
    <row r="53" spans="2:11" x14ac:dyDescent="0.2">
      <c r="I53" s="1" t="s">
        <v>97</v>
      </c>
      <c r="K53" s="34">
        <f>SUM(C13:C14)+C28</f>
        <v>0</v>
      </c>
    </row>
    <row r="54" spans="2:11" x14ac:dyDescent="0.2">
      <c r="C54" s="38"/>
      <c r="I54" s="1" t="s">
        <v>98</v>
      </c>
      <c r="K54" s="34">
        <f>C21+C22+C27-F14-F15-F16</f>
        <v>0</v>
      </c>
    </row>
    <row r="55" spans="2:11" x14ac:dyDescent="0.2">
      <c r="I55" s="1" t="s">
        <v>99</v>
      </c>
      <c r="K55" s="34">
        <f>C15+C18+C23+C26+C29</f>
        <v>0</v>
      </c>
    </row>
    <row r="56" spans="2:11" ht="19" x14ac:dyDescent="0.25">
      <c r="B56" s="37"/>
      <c r="K56" s="34"/>
    </row>
    <row r="57" spans="2:11" x14ac:dyDescent="0.2">
      <c r="C57" s="34"/>
      <c r="I57" s="1" t="s">
        <v>100</v>
      </c>
      <c r="K57" s="34">
        <f>SUM(C7:C18)</f>
        <v>0</v>
      </c>
    </row>
    <row r="58" spans="2:11" x14ac:dyDescent="0.2">
      <c r="C58" s="39"/>
      <c r="I58" s="1" t="s">
        <v>101</v>
      </c>
      <c r="K58" s="34">
        <f>SUM(C21:C29)-SUM(F14:F16)-F10</f>
        <v>0</v>
      </c>
    </row>
    <row r="60" spans="2:11" x14ac:dyDescent="0.2">
      <c r="C60" s="40"/>
      <c r="I60" s="1" t="s">
        <v>11</v>
      </c>
      <c r="K60" s="41">
        <f>C31</f>
        <v>0</v>
      </c>
    </row>
    <row r="61" spans="2:11" x14ac:dyDescent="0.2">
      <c r="I61" s="1" t="s">
        <v>102</v>
      </c>
      <c r="K61" s="41">
        <f>F20</f>
        <v>0</v>
      </c>
    </row>
    <row r="63" spans="2:11" x14ac:dyDescent="0.2">
      <c r="I63" s="42" t="s">
        <v>110</v>
      </c>
      <c r="K63" s="34">
        <f>C13+C14</f>
        <v>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8676D-87AC-2843-A35F-B8D4970D3821}">
  <sheetPr>
    <tabColor rgb="FF7030A0"/>
  </sheetPr>
  <dimension ref="A1:L63"/>
  <sheetViews>
    <sheetView showGridLines="0" zoomScale="130" zoomScaleNormal="130" workbookViewId="0">
      <selection activeCell="E16" sqref="E16"/>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157</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c r="L3" s="5"/>
    </row>
    <row r="4" spans="1:12" ht="16" customHeight="1" x14ac:dyDescent="0.2">
      <c r="A4" s="2"/>
      <c r="B4" s="2"/>
      <c r="C4" s="2"/>
      <c r="D4" s="2"/>
      <c r="E4" s="2"/>
      <c r="F4" s="2"/>
      <c r="G4" s="7"/>
      <c r="I4" s="44" t="s">
        <v>151</v>
      </c>
      <c r="J4" s="5" t="s">
        <v>10</v>
      </c>
      <c r="K4" s="6"/>
      <c r="L4" s="5"/>
    </row>
    <row r="5" spans="1:12" ht="16" customHeight="1" thickBot="1" x14ac:dyDescent="0.3">
      <c r="A5" s="83"/>
      <c r="B5" s="8" t="s">
        <v>11</v>
      </c>
      <c r="C5" s="9" t="s">
        <v>7</v>
      </c>
      <c r="D5" s="10"/>
      <c r="E5" s="9" t="s">
        <v>12</v>
      </c>
      <c r="F5" s="8" t="s">
        <v>7</v>
      </c>
      <c r="G5" s="7"/>
      <c r="I5" s="5"/>
      <c r="J5" s="5" t="s">
        <v>13</v>
      </c>
      <c r="K5" s="6"/>
      <c r="L5" s="5"/>
    </row>
    <row r="6" spans="1:12" x14ac:dyDescent="0.2">
      <c r="A6" s="7"/>
      <c r="B6" s="11" t="s">
        <v>14</v>
      </c>
      <c r="C6" s="12"/>
      <c r="D6" s="7"/>
      <c r="E6" s="13" t="s">
        <v>15</v>
      </c>
      <c r="F6" s="14"/>
      <c r="G6" s="7"/>
      <c r="I6" s="5"/>
      <c r="J6" s="5" t="s">
        <v>13</v>
      </c>
      <c r="K6" s="6"/>
      <c r="L6" s="5"/>
    </row>
    <row r="7" spans="1:12" x14ac:dyDescent="0.2">
      <c r="A7" s="7"/>
      <c r="B7" s="15" t="s">
        <v>16</v>
      </c>
      <c r="C7" s="16">
        <f>SUMIF(J:J,"kontanter",K:K)</f>
        <v>0</v>
      </c>
      <c r="D7" s="7"/>
      <c r="E7" s="17" t="s">
        <v>17</v>
      </c>
      <c r="F7" s="18">
        <f>SUMIF(J:J,"kreditkort",K:K)</f>
        <v>0</v>
      </c>
      <c r="G7" s="7"/>
      <c r="I7" s="5"/>
      <c r="J7" s="5" t="s">
        <v>18</v>
      </c>
      <c r="K7" s="6"/>
      <c r="L7" s="5"/>
    </row>
    <row r="8" spans="1:12" x14ac:dyDescent="0.2">
      <c r="A8" s="7"/>
      <c r="B8" s="15" t="s">
        <v>19</v>
      </c>
      <c r="C8" s="16">
        <f>SUMIF(J:J,"kortkonto",K:K)</f>
        <v>0</v>
      </c>
      <c r="D8" s="7"/>
      <c r="E8" s="17" t="s">
        <v>20</v>
      </c>
      <c r="F8" s="18">
        <f>SUMIF(J:J,"avbetalning",K:K)</f>
        <v>0</v>
      </c>
      <c r="G8" s="7"/>
      <c r="I8" s="5"/>
      <c r="J8" s="5" t="s">
        <v>18</v>
      </c>
      <c r="K8" s="87"/>
      <c r="L8" s="5"/>
    </row>
    <row r="9" spans="1:12" x14ac:dyDescent="0.2">
      <c r="A9" s="7"/>
      <c r="B9" s="15" t="s">
        <v>21</v>
      </c>
      <c r="C9" s="16">
        <f>SUMIF(J:J,"sparkonto",K:K)</f>
        <v>0</v>
      </c>
      <c r="D9" s="7"/>
      <c r="E9" s="17" t="s">
        <v>22</v>
      </c>
      <c r="F9" s="18">
        <f>SUMIF(J:J,"blancolån",K:K)</f>
        <v>0</v>
      </c>
      <c r="G9" s="7"/>
      <c r="I9" s="5" t="s">
        <v>25</v>
      </c>
      <c r="J9" s="5" t="s">
        <v>26</v>
      </c>
      <c r="K9" s="87"/>
    </row>
    <row r="10" spans="1:12" x14ac:dyDescent="0.2">
      <c r="A10" s="7"/>
      <c r="B10" s="15" t="s">
        <v>23</v>
      </c>
      <c r="C10" s="16">
        <f>SUMIF(J:J,"övrigt konto",K:K)</f>
        <v>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c r="L12" s="5"/>
    </row>
    <row r="13" spans="1:12" x14ac:dyDescent="0.2">
      <c r="A13" s="7"/>
      <c r="B13" s="15" t="s">
        <v>31</v>
      </c>
      <c r="C13" s="16">
        <f>SUMIF(J:J,"fonder",K:K)</f>
        <v>0</v>
      </c>
      <c r="D13" s="7"/>
      <c r="E13" s="13" t="s">
        <v>32</v>
      </c>
      <c r="F13" s="18"/>
      <c r="G13" s="7"/>
      <c r="I13" s="5" t="s">
        <v>34</v>
      </c>
      <c r="J13" s="5" t="s">
        <v>26</v>
      </c>
      <c r="K13" s="6"/>
      <c r="L13" s="5"/>
    </row>
    <row r="14" spans="1:12" x14ac:dyDescent="0.2">
      <c r="A14" s="7"/>
      <c r="B14" s="15" t="s">
        <v>33</v>
      </c>
      <c r="C14" s="16">
        <f>SUMIF(J:J,"aktier",K:K)</f>
        <v>0</v>
      </c>
      <c r="D14" s="7"/>
      <c r="E14" s="17" t="s">
        <v>169</v>
      </c>
      <c r="F14" s="18">
        <f>SUMIF(J:J,"bolån",K:K)</f>
        <v>0</v>
      </c>
      <c r="G14" s="7"/>
      <c r="I14" s="5" t="s">
        <v>36</v>
      </c>
      <c r="J14" s="5" t="s">
        <v>26</v>
      </c>
      <c r="K14" s="6"/>
      <c r="L14" s="5"/>
    </row>
    <row r="15" spans="1:12" x14ac:dyDescent="0.2">
      <c r="A15" s="7"/>
      <c r="B15" s="15" t="s">
        <v>35</v>
      </c>
      <c r="C15" s="16">
        <f>SUMIF(J:J,"råvaror",K:K)</f>
        <v>0</v>
      </c>
      <c r="D15" s="7"/>
      <c r="E15" s="17" t="s">
        <v>170</v>
      </c>
      <c r="F15" s="18">
        <f>SUMIF(J:J,"bolån fritid",K:K)</f>
        <v>0</v>
      </c>
      <c r="G15" s="7"/>
      <c r="I15" s="5" t="s">
        <v>40</v>
      </c>
      <c r="J15" s="5" t="s">
        <v>41</v>
      </c>
      <c r="K15" s="6"/>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0</v>
      </c>
      <c r="G20" s="7"/>
      <c r="I20" s="5" t="s">
        <v>51</v>
      </c>
      <c r="J20" s="5" t="s">
        <v>52</v>
      </c>
      <c r="K20" s="6"/>
      <c r="L20" s="44"/>
    </row>
    <row r="21" spans="1:12" x14ac:dyDescent="0.2">
      <c r="A21" s="7"/>
      <c r="B21" s="15" t="s">
        <v>49</v>
      </c>
      <c r="C21" s="16">
        <f>SUMIF(J:J,"bostad",K:K)</f>
        <v>0</v>
      </c>
      <c r="D21" s="7"/>
      <c r="E21" s="21"/>
      <c r="F21" s="21"/>
      <c r="G21" s="7"/>
      <c r="I21" s="44" t="s">
        <v>152</v>
      </c>
      <c r="J21" s="44" t="s">
        <v>153</v>
      </c>
      <c r="K21" s="6"/>
      <c r="L21" s="5"/>
    </row>
    <row r="22" spans="1:12" x14ac:dyDescent="0.2">
      <c r="A22" s="7"/>
      <c r="B22" s="15" t="s">
        <v>50</v>
      </c>
      <c r="C22" s="16">
        <f>SUMIF(J:J,"fritidshus",K:K)</f>
        <v>0</v>
      </c>
      <c r="D22" s="7"/>
      <c r="E22" s="22"/>
      <c r="F22" s="22"/>
      <c r="G22" s="7"/>
      <c r="I22" s="5" t="s">
        <v>154</v>
      </c>
      <c r="J22" s="5" t="s">
        <v>155</v>
      </c>
      <c r="K22" s="6"/>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c r="L24" s="5"/>
    </row>
    <row r="25" spans="1:12" ht="19" x14ac:dyDescent="0.25">
      <c r="A25" s="7"/>
      <c r="B25" s="11" t="s">
        <v>55</v>
      </c>
      <c r="C25" s="16"/>
      <c r="D25" s="7"/>
      <c r="E25" s="23" t="s">
        <v>54</v>
      </c>
      <c r="F25" s="24">
        <f>C31-F20</f>
        <v>0</v>
      </c>
      <c r="G25" s="7"/>
      <c r="I25" s="5" t="s">
        <v>60</v>
      </c>
      <c r="J25" s="5" t="s">
        <v>61</v>
      </c>
      <c r="K25" s="6"/>
      <c r="L25" s="5"/>
    </row>
    <row r="26" spans="1:12" x14ac:dyDescent="0.2">
      <c r="A26" s="7"/>
      <c r="B26" s="15" t="s">
        <v>56</v>
      </c>
      <c r="C26" s="16">
        <f>SUMIF(J:J,"företag",K:K)</f>
        <v>0</v>
      </c>
      <c r="D26" s="7"/>
      <c r="E26" s="22"/>
      <c r="F26" s="22"/>
      <c r="G26" s="7"/>
      <c r="I26" s="44" t="s">
        <v>156</v>
      </c>
      <c r="J26" s="5" t="s">
        <v>63</v>
      </c>
      <c r="K26" s="6"/>
      <c r="L26" s="5"/>
    </row>
    <row r="27" spans="1:12" x14ac:dyDescent="0.2">
      <c r="A27" s="7"/>
      <c r="B27" s="15" t="s">
        <v>59</v>
      </c>
      <c r="C27" s="16">
        <f>SUMIF(J:J,"hyresfastighet",K:K)</f>
        <v>0</v>
      </c>
      <c r="E27" s="22"/>
      <c r="F27" s="22"/>
      <c r="G27" s="7"/>
      <c r="I27" s="44" t="s">
        <v>64</v>
      </c>
      <c r="J27" s="5" t="s">
        <v>63</v>
      </c>
      <c r="K27" s="25"/>
      <c r="L27" s="5"/>
    </row>
    <row r="28" spans="1:12" x14ac:dyDescent="0.2">
      <c r="A28" s="7"/>
      <c r="B28" s="15" t="s">
        <v>62</v>
      </c>
      <c r="C28" s="16">
        <f>SUMIF(J:J,"tjänstepension",K:K)</f>
        <v>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0</v>
      </c>
      <c r="D31" s="7"/>
      <c r="E31" s="28" t="s">
        <v>66</v>
      </c>
      <c r="F31" s="29">
        <f>F20+F25</f>
        <v>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t="str">
        <f>IFERROR($F$25/$F$31,"")</f>
        <v/>
      </c>
      <c r="E45" s="1" t="s">
        <v>83</v>
      </c>
      <c r="F45" s="32">
        <f>$C$13+$C$14+$C$28</f>
        <v>0</v>
      </c>
      <c r="I45" s="1" t="s">
        <v>84</v>
      </c>
      <c r="J45" s="33"/>
    </row>
    <row r="46" spans="2:12" x14ac:dyDescent="0.2">
      <c r="B46" s="1" t="s">
        <v>85</v>
      </c>
      <c r="C46" s="31" t="str">
        <f>IFERROR($F$20/$C$31,"")</f>
        <v/>
      </c>
      <c r="E46" s="1" t="s">
        <v>158</v>
      </c>
      <c r="F46" s="34">
        <f>$F$45*0.04</f>
        <v>0</v>
      </c>
      <c r="I46" s="1" t="s">
        <v>86</v>
      </c>
      <c r="J46" s="88">
        <v>0.04</v>
      </c>
      <c r="L46" s="1" t="s">
        <v>87</v>
      </c>
    </row>
    <row r="47" spans="2:12" x14ac:dyDescent="0.2">
      <c r="B47" s="1" t="s">
        <v>88</v>
      </c>
      <c r="C47" s="31" t="str">
        <f>IFERROR(($F$14+$F$15+$F$16)/($C$21+$C$22+$C$27),"")</f>
        <v/>
      </c>
      <c r="E47" s="1" t="s">
        <v>89</v>
      </c>
      <c r="F47" s="31" t="str">
        <f>IFERROR($F$45/$J$48,"")</f>
        <v/>
      </c>
      <c r="I47" s="1" t="s">
        <v>90</v>
      </c>
      <c r="J47" s="35"/>
      <c r="L47" s="1" t="s">
        <v>91</v>
      </c>
    </row>
    <row r="48" spans="2:12" x14ac:dyDescent="0.2">
      <c r="B48" s="1" t="s">
        <v>92</v>
      </c>
      <c r="C48" s="36" t="str">
        <f>IFERROR(ROUND(IFERROR(SUM($C$7:$C$15)/$J$45,""),2),"")</f>
        <v/>
      </c>
      <c r="E48" s="1" t="s">
        <v>93</v>
      </c>
      <c r="F48" s="36" t="str">
        <f>IFERROR(ROUND(F45/(J45*12),2),"")</f>
        <v/>
      </c>
      <c r="I48" s="1" t="s">
        <v>94</v>
      </c>
      <c r="J48" s="34">
        <f>((J45-J47)*12)/J46</f>
        <v>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0</v>
      </c>
    </row>
    <row r="53" spans="2:11" x14ac:dyDescent="0.2">
      <c r="I53" s="1" t="s">
        <v>97</v>
      </c>
      <c r="K53" s="34">
        <f>SUM(C13:C14)+C28</f>
        <v>0</v>
      </c>
    </row>
    <row r="54" spans="2:11" x14ac:dyDescent="0.2">
      <c r="C54" s="38"/>
      <c r="I54" s="1" t="s">
        <v>98</v>
      </c>
      <c r="K54" s="34">
        <f>C21+C22+C27-F14-F15-F16</f>
        <v>0</v>
      </c>
    </row>
    <row r="55" spans="2:11" x14ac:dyDescent="0.2">
      <c r="I55" s="1" t="s">
        <v>99</v>
      </c>
      <c r="K55" s="34">
        <f>C15+C18+C23+C26+C29</f>
        <v>0</v>
      </c>
    </row>
    <row r="56" spans="2:11" ht="19" x14ac:dyDescent="0.25">
      <c r="B56" s="37"/>
      <c r="K56" s="34"/>
    </row>
    <row r="57" spans="2:11" x14ac:dyDescent="0.2">
      <c r="C57" s="34"/>
      <c r="I57" s="1" t="s">
        <v>100</v>
      </c>
      <c r="K57" s="34">
        <f>SUM(C7:C18)</f>
        <v>0</v>
      </c>
    </row>
    <row r="58" spans="2:11" x14ac:dyDescent="0.2">
      <c r="C58" s="39"/>
      <c r="I58" s="1" t="s">
        <v>101</v>
      </c>
      <c r="K58" s="34">
        <f>SUM(C21:C29)-SUM(F14:F16)-F10</f>
        <v>0</v>
      </c>
    </row>
    <row r="60" spans="2:11" x14ac:dyDescent="0.2">
      <c r="C60" s="40"/>
      <c r="I60" s="1" t="s">
        <v>11</v>
      </c>
      <c r="K60" s="41">
        <f>C31</f>
        <v>0</v>
      </c>
    </row>
    <row r="61" spans="2:11" x14ac:dyDescent="0.2">
      <c r="I61" s="1" t="s">
        <v>102</v>
      </c>
      <c r="K61" s="41">
        <f>F20</f>
        <v>0</v>
      </c>
    </row>
    <row r="63" spans="2:11" x14ac:dyDescent="0.2">
      <c r="I63" s="42" t="s">
        <v>110</v>
      </c>
      <c r="K63" s="34">
        <f>C13+C14</f>
        <v>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E21D4-AD96-1C49-98E7-E58904300149}">
  <sheetPr>
    <tabColor theme="7"/>
  </sheetPr>
  <dimension ref="A1:L63"/>
  <sheetViews>
    <sheetView showGridLines="0" zoomScale="130" zoomScaleNormal="130" workbookViewId="0">
      <selection activeCell="E15" sqref="E15"/>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157</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v>100</v>
      </c>
      <c r="L3" s="5"/>
    </row>
    <row r="4" spans="1:12" ht="16" customHeight="1" x14ac:dyDescent="0.2">
      <c r="A4" s="2"/>
      <c r="B4" s="2"/>
      <c r="C4" s="2"/>
      <c r="D4" s="2"/>
      <c r="E4" s="2"/>
      <c r="F4" s="2"/>
      <c r="G4" s="7"/>
      <c r="I4" s="44" t="s">
        <v>151</v>
      </c>
      <c r="J4" s="5" t="s">
        <v>10</v>
      </c>
      <c r="K4" s="6">
        <v>2500</v>
      </c>
      <c r="L4" s="5"/>
    </row>
    <row r="5" spans="1:12" ht="16" customHeight="1" thickBot="1" x14ac:dyDescent="0.3">
      <c r="A5" s="83"/>
      <c r="B5" s="8" t="s">
        <v>11</v>
      </c>
      <c r="C5" s="9" t="s">
        <v>7</v>
      </c>
      <c r="D5" s="10"/>
      <c r="E5" s="9" t="s">
        <v>12</v>
      </c>
      <c r="F5" s="8" t="s">
        <v>7</v>
      </c>
      <c r="G5" s="7"/>
      <c r="I5" s="5"/>
      <c r="J5" s="5" t="s">
        <v>13</v>
      </c>
      <c r="K5" s="6">
        <v>100</v>
      </c>
      <c r="L5" s="5"/>
    </row>
    <row r="6" spans="1:12" x14ac:dyDescent="0.2">
      <c r="A6" s="7"/>
      <c r="B6" s="11" t="s">
        <v>14</v>
      </c>
      <c r="C6" s="12"/>
      <c r="D6" s="7"/>
      <c r="E6" s="13" t="s">
        <v>15</v>
      </c>
      <c r="F6" s="14"/>
      <c r="G6" s="7"/>
      <c r="I6" s="5"/>
      <c r="J6" s="5" t="s">
        <v>13</v>
      </c>
      <c r="K6" s="6">
        <v>5000</v>
      </c>
      <c r="L6" s="5"/>
    </row>
    <row r="7" spans="1:12" x14ac:dyDescent="0.2">
      <c r="A7" s="7"/>
      <c r="B7" s="15" t="s">
        <v>16</v>
      </c>
      <c r="C7" s="16">
        <f>SUMIF(J:J,"kontanter",K:K)</f>
        <v>100</v>
      </c>
      <c r="D7" s="7"/>
      <c r="E7" s="17" t="s">
        <v>17</v>
      </c>
      <c r="F7" s="18">
        <f>SUMIF(J:J,"kreditkort",K:K)</f>
        <v>0</v>
      </c>
      <c r="G7" s="7"/>
      <c r="I7" s="5"/>
      <c r="J7" s="5" t="s">
        <v>18</v>
      </c>
      <c r="K7" s="6">
        <v>10000</v>
      </c>
      <c r="L7" s="5"/>
    </row>
    <row r="8" spans="1:12" x14ac:dyDescent="0.2">
      <c r="A8" s="7"/>
      <c r="B8" s="15" t="s">
        <v>19</v>
      </c>
      <c r="C8" s="16">
        <f>SUMIF(J:J,"kortkonto",K:K)</f>
        <v>2500</v>
      </c>
      <c r="D8" s="7"/>
      <c r="E8" s="17" t="s">
        <v>20</v>
      </c>
      <c r="F8" s="18">
        <f>SUMIF(J:J,"avbetalning",K:K)</f>
        <v>0</v>
      </c>
      <c r="G8" s="7"/>
      <c r="I8" s="5"/>
      <c r="J8" s="5" t="s">
        <v>18</v>
      </c>
      <c r="K8" s="87">
        <v>10</v>
      </c>
      <c r="L8" s="5"/>
    </row>
    <row r="9" spans="1:12" x14ac:dyDescent="0.2">
      <c r="A9" s="7"/>
      <c r="B9" s="15" t="s">
        <v>21</v>
      </c>
      <c r="C9" s="16">
        <f>SUMIF(J:J,"sparkonto",K:K)</f>
        <v>10010</v>
      </c>
      <c r="D9" s="7"/>
      <c r="E9" s="17" t="s">
        <v>22</v>
      </c>
      <c r="F9" s="18">
        <f>SUMIF(J:J,"blancolån",K:K)</f>
        <v>0</v>
      </c>
      <c r="G9" s="7"/>
      <c r="I9" s="5" t="s">
        <v>25</v>
      </c>
      <c r="J9" s="5" t="s">
        <v>26</v>
      </c>
      <c r="K9" s="87">
        <v>25000</v>
      </c>
    </row>
    <row r="10" spans="1:12" x14ac:dyDescent="0.2">
      <c r="A10" s="7"/>
      <c r="B10" s="15" t="s">
        <v>23</v>
      </c>
      <c r="C10" s="16">
        <f>SUMIF(J:J,"övrigt konto",K:K)</f>
        <v>5100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v>25000</v>
      </c>
      <c r="L12" s="5"/>
    </row>
    <row r="13" spans="1:12" x14ac:dyDescent="0.2">
      <c r="A13" s="7"/>
      <c r="B13" s="15" t="s">
        <v>31</v>
      </c>
      <c r="C13" s="16">
        <f>SUMIF(J:J,"fonder",K:K)</f>
        <v>55000</v>
      </c>
      <c r="D13" s="7"/>
      <c r="E13" s="13" t="s">
        <v>32</v>
      </c>
      <c r="F13" s="18"/>
      <c r="G13" s="7"/>
      <c r="I13" s="5" t="s">
        <v>34</v>
      </c>
      <c r="J13" s="5" t="s">
        <v>26</v>
      </c>
      <c r="K13" s="6">
        <v>20000</v>
      </c>
      <c r="L13" s="5"/>
    </row>
    <row r="14" spans="1:12" x14ac:dyDescent="0.2">
      <c r="A14" s="7"/>
      <c r="B14" s="15" t="s">
        <v>33</v>
      </c>
      <c r="C14" s="16">
        <f>SUMIF(J:J,"aktier",K:K)</f>
        <v>25000</v>
      </c>
      <c r="D14" s="7"/>
      <c r="E14" s="17" t="s">
        <v>169</v>
      </c>
      <c r="F14" s="18">
        <f>SUMIF(J:J,"bolån",K:K)</f>
        <v>2510000</v>
      </c>
      <c r="G14" s="7"/>
      <c r="I14" s="5" t="s">
        <v>36</v>
      </c>
      <c r="J14" s="5" t="s">
        <v>26</v>
      </c>
      <c r="K14" s="6">
        <v>10000</v>
      </c>
      <c r="L14" s="5"/>
    </row>
    <row r="15" spans="1:12" x14ac:dyDescent="0.2">
      <c r="A15" s="7"/>
      <c r="B15" s="15" t="s">
        <v>35</v>
      </c>
      <c r="C15" s="16">
        <f>SUMIF(J:J,"råvaror",K:K)</f>
        <v>5000</v>
      </c>
      <c r="D15" s="7"/>
      <c r="E15" s="17" t="s">
        <v>170</v>
      </c>
      <c r="F15" s="18">
        <f>SUMIF(J:J,"bolån fritid",K:K)</f>
        <v>0</v>
      </c>
      <c r="G15" s="7"/>
      <c r="I15" s="5" t="s">
        <v>40</v>
      </c>
      <c r="J15" s="5" t="s">
        <v>41</v>
      </c>
      <c r="K15" s="6">
        <v>5000</v>
      </c>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2510000</v>
      </c>
      <c r="G20" s="7"/>
      <c r="I20" s="5" t="s">
        <v>51</v>
      </c>
      <c r="J20" s="5" t="s">
        <v>52</v>
      </c>
      <c r="K20" s="6">
        <v>3000000</v>
      </c>
      <c r="L20" s="44"/>
    </row>
    <row r="21" spans="1:12" x14ac:dyDescent="0.2">
      <c r="A21" s="7"/>
      <c r="B21" s="15" t="s">
        <v>49</v>
      </c>
      <c r="C21" s="16">
        <f>SUMIF(J:J,"bostad",K:K)</f>
        <v>3000000</v>
      </c>
      <c r="D21" s="7"/>
      <c r="E21" s="21"/>
      <c r="F21" s="21"/>
      <c r="G21" s="7"/>
      <c r="I21" s="44" t="s">
        <v>152</v>
      </c>
      <c r="J21" s="44" t="s">
        <v>153</v>
      </c>
      <c r="K21" s="6">
        <v>0</v>
      </c>
      <c r="L21" s="5"/>
    </row>
    <row r="22" spans="1:12" x14ac:dyDescent="0.2">
      <c r="A22" s="7"/>
      <c r="B22" s="15" t="s">
        <v>50</v>
      </c>
      <c r="C22" s="16">
        <f>SUMIF(J:J,"fritidshus",K:K)</f>
        <v>0</v>
      </c>
      <c r="D22" s="7"/>
      <c r="E22" s="22"/>
      <c r="F22" s="22"/>
      <c r="G22" s="7"/>
      <c r="I22" s="5" t="s">
        <v>154</v>
      </c>
      <c r="J22" s="5" t="s">
        <v>155</v>
      </c>
      <c r="K22" s="6">
        <v>0</v>
      </c>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v>0</v>
      </c>
      <c r="L24" s="5"/>
    </row>
    <row r="25" spans="1:12" ht="19" x14ac:dyDescent="0.25">
      <c r="A25" s="7"/>
      <c r="B25" s="11" t="s">
        <v>55</v>
      </c>
      <c r="C25" s="16"/>
      <c r="D25" s="7"/>
      <c r="E25" s="23" t="s">
        <v>54</v>
      </c>
      <c r="F25" s="24">
        <f>C31-F20</f>
        <v>742710</v>
      </c>
      <c r="G25" s="7"/>
      <c r="I25" s="5" t="s">
        <v>60</v>
      </c>
      <c r="J25" s="5" t="s">
        <v>61</v>
      </c>
      <c r="K25" s="6">
        <v>0</v>
      </c>
      <c r="L25" s="5"/>
    </row>
    <row r="26" spans="1:12" x14ac:dyDescent="0.2">
      <c r="A26" s="7"/>
      <c r="B26" s="15" t="s">
        <v>56</v>
      </c>
      <c r="C26" s="16">
        <f>SUMIF(J:J,"företag",K:K)</f>
        <v>0</v>
      </c>
      <c r="D26" s="7"/>
      <c r="E26" s="22"/>
      <c r="F26" s="22"/>
      <c r="G26" s="7"/>
      <c r="I26" s="44" t="s">
        <v>156</v>
      </c>
      <c r="J26" s="5" t="s">
        <v>63</v>
      </c>
      <c r="K26" s="6">
        <v>150000</v>
      </c>
      <c r="L26" s="5"/>
    </row>
    <row r="27" spans="1:12" x14ac:dyDescent="0.2">
      <c r="A27" s="7"/>
      <c r="B27" s="15" t="s">
        <v>59</v>
      </c>
      <c r="C27" s="16">
        <f>SUMIF(J:J,"hyresfastighet",K:K)</f>
        <v>0</v>
      </c>
      <c r="E27" s="22"/>
      <c r="F27" s="22"/>
      <c r="G27" s="7"/>
      <c r="I27" s="44" t="s">
        <v>64</v>
      </c>
      <c r="J27" s="5" t="s">
        <v>63</v>
      </c>
      <c r="K27" s="25">
        <v>0</v>
      </c>
      <c r="L27" s="5"/>
    </row>
    <row r="28" spans="1:12" x14ac:dyDescent="0.2">
      <c r="A28" s="7"/>
      <c r="B28" s="15" t="s">
        <v>62</v>
      </c>
      <c r="C28" s="16">
        <f>SUMIF(J:J,"tjänstepension",K:K)</f>
        <v>150000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3252710</v>
      </c>
      <c r="D31" s="7"/>
      <c r="E31" s="28" t="s">
        <v>66</v>
      </c>
      <c r="F31" s="29">
        <f>F20+F25</f>
        <v>3252710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v>2510000</v>
      </c>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f>IFERROR($F$25/$F$31,"")</f>
        <v>0.22833575695343267</v>
      </c>
      <c r="E45" s="1" t="s">
        <v>83</v>
      </c>
      <c r="F45" s="32">
        <f>$C$13+$C$14+$C$28</f>
        <v>230000</v>
      </c>
      <c r="I45" s="1" t="s">
        <v>84</v>
      </c>
      <c r="J45" s="33">
        <v>20000</v>
      </c>
    </row>
    <row r="46" spans="2:12" x14ac:dyDescent="0.2">
      <c r="B46" s="1" t="s">
        <v>85</v>
      </c>
      <c r="C46" s="31">
        <f>IFERROR($F$20/$C$31,"")</f>
        <v>0.77166424304656733</v>
      </c>
      <c r="E46" s="1" t="s">
        <v>158</v>
      </c>
      <c r="F46" s="34">
        <f>$F$45*0.04</f>
        <v>9200</v>
      </c>
      <c r="I46" s="1" t="s">
        <v>86</v>
      </c>
      <c r="J46" s="88">
        <v>0.04</v>
      </c>
      <c r="L46" s="1" t="s">
        <v>87</v>
      </c>
    </row>
    <row r="47" spans="2:12" x14ac:dyDescent="0.2">
      <c r="B47" s="1" t="s">
        <v>88</v>
      </c>
      <c r="C47" s="31">
        <f>IFERROR(($F$14+$F$15+$F$16)/($C$21+$C$22+$C$27),"")</f>
        <v>0.83666666666666667</v>
      </c>
      <c r="E47" s="1" t="s">
        <v>89</v>
      </c>
      <c r="F47" s="31">
        <f>IFERROR($F$45/$J$48,"")</f>
        <v>3.833333333333333E-2</v>
      </c>
      <c r="I47" s="1" t="s">
        <v>90</v>
      </c>
      <c r="J47" s="35"/>
      <c r="L47" s="1" t="s">
        <v>91</v>
      </c>
    </row>
    <row r="48" spans="2:12" x14ac:dyDescent="0.2">
      <c r="B48" s="1" t="s">
        <v>92</v>
      </c>
      <c r="C48" s="36">
        <f>IFERROR(ROUND(IFERROR(SUM($C$7:$C$15)/$J$45,""),2),"")</f>
        <v>5.14</v>
      </c>
      <c r="E48" s="1" t="s">
        <v>93</v>
      </c>
      <c r="F48" s="36">
        <f>IFERROR(ROUND(F45/(J45*12),2),"")</f>
        <v>0.96</v>
      </c>
      <c r="I48" s="1" t="s">
        <v>94</v>
      </c>
      <c r="J48" s="34">
        <f>((J45-J47)*12)/J46</f>
        <v>6000000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17710</v>
      </c>
    </row>
    <row r="53" spans="2:11" x14ac:dyDescent="0.2">
      <c r="I53" s="1" t="s">
        <v>97</v>
      </c>
      <c r="K53" s="34">
        <f>SUM(C13:C14)+C28</f>
        <v>230000</v>
      </c>
    </row>
    <row r="54" spans="2:11" x14ac:dyDescent="0.2">
      <c r="C54" s="38"/>
      <c r="I54" s="1" t="s">
        <v>98</v>
      </c>
      <c r="K54" s="34">
        <f>C21+C22+C27-F14-F15-F16</f>
        <v>490000</v>
      </c>
    </row>
    <row r="55" spans="2:11" x14ac:dyDescent="0.2">
      <c r="I55" s="1" t="s">
        <v>99</v>
      </c>
      <c r="K55" s="34">
        <f>C15+C18+C23+C26+C29</f>
        <v>5000</v>
      </c>
    </row>
    <row r="56" spans="2:11" ht="19" x14ac:dyDescent="0.25">
      <c r="B56" s="37"/>
      <c r="K56" s="34"/>
    </row>
    <row r="57" spans="2:11" x14ac:dyDescent="0.2">
      <c r="C57" s="34"/>
      <c r="I57" s="1" t="s">
        <v>100</v>
      </c>
      <c r="K57" s="34">
        <f>SUM(C7:C18)</f>
        <v>102710</v>
      </c>
    </row>
    <row r="58" spans="2:11" x14ac:dyDescent="0.2">
      <c r="C58" s="39"/>
      <c r="I58" s="1" t="s">
        <v>101</v>
      </c>
      <c r="K58" s="34">
        <f>SUM(C21:C29)-SUM(F14:F16)-F10</f>
        <v>640000</v>
      </c>
    </row>
    <row r="60" spans="2:11" x14ac:dyDescent="0.2">
      <c r="C60" s="40"/>
      <c r="I60" s="1" t="s">
        <v>11</v>
      </c>
      <c r="K60" s="41">
        <f>C31</f>
        <v>3252710</v>
      </c>
    </row>
    <row r="61" spans="2:11" x14ac:dyDescent="0.2">
      <c r="I61" s="1" t="s">
        <v>102</v>
      </c>
      <c r="K61" s="41">
        <f>F20</f>
        <v>2510000</v>
      </c>
    </row>
    <row r="63" spans="2:11" x14ac:dyDescent="0.2">
      <c r="I63" s="42" t="s">
        <v>110</v>
      </c>
      <c r="K63" s="34">
        <f>C13+C14</f>
        <v>80000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3D582-3DF2-DC43-9B61-0A4CFD7687B2}">
  <sheetPr>
    <tabColor rgb="FF7030A0"/>
  </sheetPr>
  <dimension ref="A1:L63"/>
  <sheetViews>
    <sheetView showGridLines="0" zoomScale="130" zoomScaleNormal="130" workbookViewId="0">
      <selection activeCell="E16" sqref="E16"/>
    </sheetView>
  </sheetViews>
  <sheetFormatPr baseColWidth="10" defaultColWidth="8.83203125" defaultRowHeight="16" x14ac:dyDescent="0.2"/>
  <cols>
    <col min="1" max="1" width="1.1640625" style="1" customWidth="1"/>
    <col min="2" max="2" width="30" style="1" customWidth="1"/>
    <col min="3" max="3" width="12.5" style="1" customWidth="1"/>
    <col min="4" max="4" width="3.33203125" style="1" customWidth="1"/>
    <col min="5" max="5" width="30" style="1" customWidth="1"/>
    <col min="6" max="6" width="15" style="1" customWidth="1"/>
    <col min="7" max="8" width="1.6640625" style="1" customWidth="1"/>
    <col min="9" max="9" width="23.6640625" style="1" customWidth="1"/>
    <col min="10" max="10" width="14.5" style="1" customWidth="1"/>
    <col min="11" max="11" width="12.6640625" style="1" bestFit="1" customWidth="1"/>
    <col min="12" max="12" width="33.83203125" style="1" customWidth="1"/>
    <col min="13" max="16384" width="8.83203125" style="1"/>
  </cols>
  <sheetData>
    <row r="1" spans="1:12" ht="16" customHeight="1" x14ac:dyDescent="0.2">
      <c r="B1" s="84" t="s">
        <v>150</v>
      </c>
      <c r="C1" s="84"/>
      <c r="D1" s="84"/>
      <c r="E1" s="84"/>
      <c r="F1" s="84"/>
    </row>
    <row r="2" spans="1:12" ht="16" customHeight="1" x14ac:dyDescent="0.2">
      <c r="A2" s="2"/>
      <c r="B2" s="84"/>
      <c r="C2" s="84"/>
      <c r="D2" s="84"/>
      <c r="E2" s="84"/>
      <c r="F2" s="84"/>
      <c r="I2" s="3" t="s">
        <v>5</v>
      </c>
      <c r="J2" s="4" t="s">
        <v>6</v>
      </c>
      <c r="K2" s="3" t="s">
        <v>7</v>
      </c>
      <c r="L2" s="4" t="s">
        <v>8</v>
      </c>
    </row>
    <row r="3" spans="1:12" ht="16" customHeight="1" x14ac:dyDescent="0.2">
      <c r="A3" s="2"/>
      <c r="B3" s="2"/>
      <c r="C3" s="2"/>
      <c r="D3" s="2"/>
      <c r="E3" s="2"/>
      <c r="F3" s="2"/>
      <c r="I3" s="5" t="s">
        <v>9</v>
      </c>
      <c r="J3" s="5" t="s">
        <v>9</v>
      </c>
      <c r="K3" s="6"/>
      <c r="L3" s="5"/>
    </row>
    <row r="4" spans="1:12" ht="16" customHeight="1" x14ac:dyDescent="0.2">
      <c r="A4" s="2"/>
      <c r="B4" s="2"/>
      <c r="C4" s="2"/>
      <c r="D4" s="2"/>
      <c r="E4" s="2"/>
      <c r="F4" s="2"/>
      <c r="G4" s="7"/>
      <c r="I4" s="44" t="s">
        <v>151</v>
      </c>
      <c r="J4" s="5" t="s">
        <v>10</v>
      </c>
      <c r="K4" s="6"/>
      <c r="L4" s="5"/>
    </row>
    <row r="5" spans="1:12" ht="16" customHeight="1" thickBot="1" x14ac:dyDescent="0.3">
      <c r="A5" s="46"/>
      <c r="B5" s="8" t="s">
        <v>11</v>
      </c>
      <c r="C5" s="9" t="s">
        <v>7</v>
      </c>
      <c r="D5" s="10"/>
      <c r="E5" s="9" t="s">
        <v>12</v>
      </c>
      <c r="F5" s="8" t="s">
        <v>7</v>
      </c>
      <c r="G5" s="7"/>
      <c r="I5" s="5"/>
      <c r="J5" s="5" t="s">
        <v>13</v>
      </c>
      <c r="K5" s="6"/>
      <c r="L5" s="5"/>
    </row>
    <row r="6" spans="1:12" x14ac:dyDescent="0.2">
      <c r="A6" s="7"/>
      <c r="B6" s="11" t="s">
        <v>14</v>
      </c>
      <c r="C6" s="12"/>
      <c r="D6" s="7"/>
      <c r="E6" s="13" t="s">
        <v>15</v>
      </c>
      <c r="F6" s="14"/>
      <c r="G6" s="7"/>
      <c r="I6" s="5"/>
      <c r="J6" s="5" t="s">
        <v>13</v>
      </c>
      <c r="K6" s="6"/>
      <c r="L6" s="5"/>
    </row>
    <row r="7" spans="1:12" x14ac:dyDescent="0.2">
      <c r="A7" s="7"/>
      <c r="B7" s="15" t="s">
        <v>16</v>
      </c>
      <c r="C7" s="16">
        <f>SUMIF(J:J,"kontanter",K:K)</f>
        <v>0</v>
      </c>
      <c r="D7" s="7"/>
      <c r="E7" s="17" t="s">
        <v>17</v>
      </c>
      <c r="F7" s="18">
        <f>SUMIF(J:J,"kreditkort",K:K)</f>
        <v>0</v>
      </c>
      <c r="G7" s="7"/>
      <c r="I7" s="5"/>
      <c r="J7" s="5" t="s">
        <v>18</v>
      </c>
      <c r="K7" s="6"/>
      <c r="L7" s="5"/>
    </row>
    <row r="8" spans="1:12" x14ac:dyDescent="0.2">
      <c r="A8" s="7"/>
      <c r="B8" s="15" t="s">
        <v>19</v>
      </c>
      <c r="C8" s="16">
        <f>SUMIF(J:J,"kortkonto",K:K)</f>
        <v>0</v>
      </c>
      <c r="D8" s="7"/>
      <c r="E8" s="17" t="s">
        <v>20</v>
      </c>
      <c r="F8" s="18">
        <f>SUMIF(J:J,"avbetalning",K:K)</f>
        <v>0</v>
      </c>
      <c r="G8" s="7"/>
      <c r="I8" s="5"/>
      <c r="J8" s="5" t="s">
        <v>18</v>
      </c>
      <c r="K8" s="87"/>
      <c r="L8" s="5"/>
    </row>
    <row r="9" spans="1:12" x14ac:dyDescent="0.2">
      <c r="A9" s="7"/>
      <c r="B9" s="15" t="s">
        <v>21</v>
      </c>
      <c r="C9" s="16">
        <f>SUMIF(J:J,"sparkonto",K:K)</f>
        <v>0</v>
      </c>
      <c r="D9" s="7"/>
      <c r="E9" s="17" t="s">
        <v>22</v>
      </c>
      <c r="F9" s="18">
        <f>SUMIF(J:J,"blancolån",K:K)</f>
        <v>0</v>
      </c>
      <c r="G9" s="7"/>
      <c r="I9" s="5" t="s">
        <v>25</v>
      </c>
      <c r="J9" s="5" t="s">
        <v>26</v>
      </c>
      <c r="K9" s="79"/>
    </row>
    <row r="10" spans="1:12" x14ac:dyDescent="0.2">
      <c r="A10" s="7"/>
      <c r="B10" s="15" t="s">
        <v>23</v>
      </c>
      <c r="C10" s="16">
        <f>SUMIF(J:J,"övrigt konto",K:K)</f>
        <v>0</v>
      </c>
      <c r="D10" s="7"/>
      <c r="E10" s="17" t="s">
        <v>24</v>
      </c>
      <c r="F10" s="18">
        <f>SUMIF(J:J,"billån",K:K)</f>
        <v>0</v>
      </c>
      <c r="G10" s="7"/>
      <c r="I10" s="5" t="s">
        <v>25</v>
      </c>
      <c r="J10" s="5" t="s">
        <v>28</v>
      </c>
      <c r="K10" s="6"/>
      <c r="L10" s="5"/>
    </row>
    <row r="11" spans="1:12" x14ac:dyDescent="0.2">
      <c r="A11" s="7"/>
      <c r="B11" s="12"/>
      <c r="C11" s="16"/>
      <c r="D11" s="7"/>
      <c r="E11" s="17" t="s">
        <v>27</v>
      </c>
      <c r="F11" s="18">
        <f>SUMIF(J:J,"korta lån",K:K)</f>
        <v>0</v>
      </c>
      <c r="G11" s="7"/>
      <c r="I11" s="5" t="s">
        <v>30</v>
      </c>
      <c r="J11" s="5" t="s">
        <v>26</v>
      </c>
      <c r="K11" s="6"/>
      <c r="L11" s="5"/>
    </row>
    <row r="12" spans="1:12" x14ac:dyDescent="0.2">
      <c r="A12" s="7"/>
      <c r="B12" s="11" t="s">
        <v>29</v>
      </c>
      <c r="C12" s="16"/>
      <c r="D12" s="7"/>
      <c r="E12" s="14"/>
      <c r="F12" s="18"/>
      <c r="G12" s="7"/>
      <c r="I12" s="5" t="s">
        <v>30</v>
      </c>
      <c r="J12" s="5" t="s">
        <v>28</v>
      </c>
      <c r="K12" s="6"/>
      <c r="L12" s="5"/>
    </row>
    <row r="13" spans="1:12" x14ac:dyDescent="0.2">
      <c r="A13" s="7"/>
      <c r="B13" s="15" t="s">
        <v>31</v>
      </c>
      <c r="C13" s="16">
        <f>SUMIF(J:J,"fonder",K:K)</f>
        <v>0</v>
      </c>
      <c r="D13" s="7"/>
      <c r="E13" s="13" t="s">
        <v>32</v>
      </c>
      <c r="F13" s="18"/>
      <c r="G13" s="7"/>
      <c r="I13" s="5" t="s">
        <v>34</v>
      </c>
      <c r="J13" s="5" t="s">
        <v>26</v>
      </c>
      <c r="K13" s="6"/>
      <c r="L13" s="5"/>
    </row>
    <row r="14" spans="1:12" x14ac:dyDescent="0.2">
      <c r="A14" s="7"/>
      <c r="B14" s="15" t="s">
        <v>33</v>
      </c>
      <c r="C14" s="16">
        <f>SUMIF(J:J,"aktier",K:K)</f>
        <v>0</v>
      </c>
      <c r="D14" s="7"/>
      <c r="E14" s="17" t="s">
        <v>169</v>
      </c>
      <c r="F14" s="18">
        <f>SUMIF(J:J,"bolån",K:K)</f>
        <v>0</v>
      </c>
      <c r="G14" s="7"/>
      <c r="I14" s="5" t="s">
        <v>36</v>
      </c>
      <c r="J14" s="5" t="s">
        <v>26</v>
      </c>
      <c r="K14" s="6"/>
      <c r="L14" s="5"/>
    </row>
    <row r="15" spans="1:12" x14ac:dyDescent="0.2">
      <c r="A15" s="7"/>
      <c r="B15" s="15" t="s">
        <v>35</v>
      </c>
      <c r="C15" s="16">
        <f>SUMIF(J:J,"råvaror",K:K)</f>
        <v>0</v>
      </c>
      <c r="D15" s="7"/>
      <c r="E15" s="17" t="s">
        <v>170</v>
      </c>
      <c r="F15" s="18">
        <f>SUMIF(J:J,"bolån fritid",K:K)</f>
        <v>0</v>
      </c>
      <c r="G15" s="7"/>
      <c r="I15" s="5" t="s">
        <v>40</v>
      </c>
      <c r="J15" s="5" t="s">
        <v>41</v>
      </c>
      <c r="K15" s="6"/>
      <c r="L15" s="5"/>
    </row>
    <row r="16" spans="1:12" x14ac:dyDescent="0.2">
      <c r="A16" s="7"/>
      <c r="B16" s="12"/>
      <c r="C16" s="16"/>
      <c r="D16" s="7"/>
      <c r="E16" s="17" t="s">
        <v>37</v>
      </c>
      <c r="F16" s="18">
        <f>SUMIF(J:J,"bolån hyres",K:K)</f>
        <v>0</v>
      </c>
      <c r="G16" s="7"/>
      <c r="I16" s="5" t="s">
        <v>44</v>
      </c>
      <c r="J16" s="5" t="s">
        <v>41</v>
      </c>
      <c r="K16" s="6"/>
      <c r="L16" s="5"/>
    </row>
    <row r="17" spans="1:12" x14ac:dyDescent="0.2">
      <c r="A17" s="7"/>
      <c r="B17" s="11" t="s">
        <v>38</v>
      </c>
      <c r="C17" s="16"/>
      <c r="D17" s="7"/>
      <c r="E17" s="17" t="s">
        <v>39</v>
      </c>
      <c r="F17" s="18">
        <f>SUMIF(J:J,"studielån",K:K)</f>
        <v>0</v>
      </c>
      <c r="G17" s="7"/>
      <c r="K17" s="6"/>
    </row>
    <row r="18" spans="1:12" x14ac:dyDescent="0.2">
      <c r="A18" s="7"/>
      <c r="B18" s="15" t="s">
        <v>42</v>
      </c>
      <c r="C18" s="16">
        <f>SUMIF(J:J,"utlånat",K:K)</f>
        <v>0</v>
      </c>
      <c r="D18" s="7"/>
      <c r="E18" s="17" t="s">
        <v>43</v>
      </c>
      <c r="F18" s="18">
        <f>SUMIF(J:J,"långa lån",K:K)</f>
        <v>0</v>
      </c>
      <c r="G18" s="7"/>
      <c r="I18" s="5" t="s">
        <v>47</v>
      </c>
      <c r="J18" s="5" t="s">
        <v>48</v>
      </c>
      <c r="K18" s="6"/>
      <c r="L18" s="44"/>
    </row>
    <row r="19" spans="1:12" x14ac:dyDescent="0.2">
      <c r="A19" s="7"/>
      <c r="B19" s="12"/>
      <c r="C19" s="16"/>
      <c r="D19" s="7"/>
      <c r="E19" s="14"/>
      <c r="F19" s="14"/>
      <c r="G19" s="7"/>
      <c r="K19" s="6"/>
    </row>
    <row r="20" spans="1:12" x14ac:dyDescent="0.2">
      <c r="A20" s="7"/>
      <c r="B20" s="11" t="s">
        <v>45</v>
      </c>
      <c r="C20" s="16"/>
      <c r="D20" s="7"/>
      <c r="E20" s="19" t="s">
        <v>46</v>
      </c>
      <c r="F20" s="20">
        <f>SUM(F6:F18)</f>
        <v>0</v>
      </c>
      <c r="G20" s="7"/>
      <c r="I20" s="5" t="s">
        <v>51</v>
      </c>
      <c r="J20" s="5" t="s">
        <v>52</v>
      </c>
      <c r="K20" s="6"/>
      <c r="L20" s="44"/>
    </row>
    <row r="21" spans="1:12" x14ac:dyDescent="0.2">
      <c r="A21" s="7"/>
      <c r="B21" s="15" t="s">
        <v>49</v>
      </c>
      <c r="C21" s="16">
        <f>SUMIF(J:J,"bostad",K:K)</f>
        <v>0</v>
      </c>
      <c r="D21" s="7"/>
      <c r="E21" s="21"/>
      <c r="F21" s="21"/>
      <c r="G21" s="7"/>
      <c r="I21" s="44" t="s">
        <v>152</v>
      </c>
      <c r="J21" s="44" t="s">
        <v>153</v>
      </c>
      <c r="K21" s="6"/>
      <c r="L21" s="5"/>
    </row>
    <row r="22" spans="1:12" x14ac:dyDescent="0.2">
      <c r="A22" s="7"/>
      <c r="B22" s="15" t="s">
        <v>50</v>
      </c>
      <c r="C22" s="16">
        <f>SUMIF(J:J,"fritidshus",K:K)</f>
        <v>0</v>
      </c>
      <c r="D22" s="7"/>
      <c r="E22" s="22"/>
      <c r="F22" s="22"/>
      <c r="G22" s="7"/>
      <c r="I22" s="5" t="s">
        <v>154</v>
      </c>
      <c r="J22" s="5" t="s">
        <v>155</v>
      </c>
      <c r="K22" s="6"/>
      <c r="L22" s="44"/>
    </row>
    <row r="23" spans="1:12" x14ac:dyDescent="0.2">
      <c r="A23" s="7"/>
      <c r="B23" s="15" t="s">
        <v>53</v>
      </c>
      <c r="C23" s="16">
        <f>SUMIF(J:J,"övrig anläggning",K:K)</f>
        <v>0</v>
      </c>
      <c r="D23" s="7"/>
      <c r="E23" s="22"/>
      <c r="F23" s="22"/>
      <c r="G23" s="7"/>
      <c r="K23" s="6"/>
    </row>
    <row r="24" spans="1:12" x14ac:dyDescent="0.2">
      <c r="A24" s="7"/>
      <c r="B24" s="12"/>
      <c r="C24" s="16"/>
      <c r="E24" s="22"/>
      <c r="F24" s="22"/>
      <c r="G24" s="7"/>
      <c r="I24" s="5" t="s">
        <v>57</v>
      </c>
      <c r="J24" s="5" t="s">
        <v>58</v>
      </c>
      <c r="K24" s="6"/>
      <c r="L24" s="5"/>
    </row>
    <row r="25" spans="1:12" ht="19" x14ac:dyDescent="0.25">
      <c r="A25" s="7"/>
      <c r="B25" s="11" t="s">
        <v>55</v>
      </c>
      <c r="C25" s="16"/>
      <c r="D25" s="7"/>
      <c r="E25" s="23" t="s">
        <v>54</v>
      </c>
      <c r="F25" s="24">
        <f>C31-F20</f>
        <v>0</v>
      </c>
      <c r="G25" s="7"/>
      <c r="I25" s="5" t="s">
        <v>60</v>
      </c>
      <c r="J25" s="5" t="s">
        <v>61</v>
      </c>
      <c r="K25" s="6"/>
      <c r="L25" s="5"/>
    </row>
    <row r="26" spans="1:12" x14ac:dyDescent="0.2">
      <c r="A26" s="7"/>
      <c r="B26" s="15" t="s">
        <v>56</v>
      </c>
      <c r="C26" s="16">
        <f>SUMIF(J:J,"företag",K:K)</f>
        <v>0</v>
      </c>
      <c r="D26" s="7"/>
      <c r="E26" s="22"/>
      <c r="F26" s="22"/>
      <c r="G26" s="7"/>
      <c r="I26" s="44" t="s">
        <v>156</v>
      </c>
      <c r="J26" s="5" t="s">
        <v>63</v>
      </c>
      <c r="K26" s="6"/>
      <c r="L26" s="5"/>
    </row>
    <row r="27" spans="1:12" x14ac:dyDescent="0.2">
      <c r="A27" s="7"/>
      <c r="B27" s="15" t="s">
        <v>59</v>
      </c>
      <c r="C27" s="16">
        <f>SUMIF(J:J,"hyresfastighet",K:K)</f>
        <v>0</v>
      </c>
      <c r="E27" s="22"/>
      <c r="F27" s="22"/>
      <c r="G27" s="7"/>
      <c r="I27" s="44" t="s">
        <v>64</v>
      </c>
      <c r="J27" s="5" t="s">
        <v>63</v>
      </c>
      <c r="K27" s="25"/>
      <c r="L27" s="5"/>
    </row>
    <row r="28" spans="1:12" x14ac:dyDescent="0.2">
      <c r="A28" s="7"/>
      <c r="B28" s="15" t="s">
        <v>62</v>
      </c>
      <c r="C28" s="16">
        <f>SUMIF(J:J,"tjänstepension",K:K)</f>
        <v>0</v>
      </c>
      <c r="D28" s="7"/>
      <c r="E28" s="22"/>
      <c r="F28" s="22"/>
      <c r="G28" s="7"/>
      <c r="I28" s="42" t="s">
        <v>151</v>
      </c>
      <c r="J28" s="42" t="s">
        <v>63</v>
      </c>
      <c r="K28" s="6"/>
      <c r="L28" s="5"/>
    </row>
    <row r="29" spans="1:12" x14ac:dyDescent="0.2">
      <c r="A29" s="7"/>
      <c r="B29" s="43" t="s">
        <v>111</v>
      </c>
      <c r="C29" s="16">
        <f>SUMIF(J:J,"övrigt långsiktigt",K:K)</f>
        <v>0</v>
      </c>
      <c r="D29" s="7"/>
      <c r="E29" s="7"/>
      <c r="F29" s="7"/>
      <c r="G29" s="7"/>
      <c r="I29" s="44" t="s">
        <v>113</v>
      </c>
      <c r="J29" s="44" t="s">
        <v>112</v>
      </c>
      <c r="K29" s="6"/>
      <c r="L29" s="5"/>
    </row>
    <row r="30" spans="1:12" x14ac:dyDescent="0.2">
      <c r="A30" s="7"/>
      <c r="B30" s="12"/>
      <c r="C30" s="12"/>
      <c r="G30" s="7"/>
    </row>
    <row r="31" spans="1:12" x14ac:dyDescent="0.2">
      <c r="A31" s="7"/>
      <c r="B31" s="26" t="s">
        <v>65</v>
      </c>
      <c r="C31" s="27">
        <f>SUM(C7:C28)</f>
        <v>0</v>
      </c>
      <c r="D31" s="7"/>
      <c r="E31" s="28" t="s">
        <v>66</v>
      </c>
      <c r="F31" s="29">
        <f>F20+F25</f>
        <v>0</v>
      </c>
      <c r="G31" s="7"/>
      <c r="I31" s="3" t="s">
        <v>67</v>
      </c>
      <c r="J31" s="4" t="s">
        <v>6</v>
      </c>
      <c r="K31" s="4"/>
      <c r="L31" s="4" t="s">
        <v>8</v>
      </c>
    </row>
    <row r="32" spans="1:12" x14ac:dyDescent="0.2">
      <c r="I32" s="5"/>
      <c r="J32" s="5" t="s">
        <v>68</v>
      </c>
      <c r="K32" s="6"/>
      <c r="L32" s="5"/>
    </row>
    <row r="33" spans="2:12" x14ac:dyDescent="0.2">
      <c r="I33" s="5"/>
      <c r="J33" s="5" t="s">
        <v>69</v>
      </c>
      <c r="K33" s="6"/>
      <c r="L33" s="5"/>
    </row>
    <row r="34" spans="2:12" x14ac:dyDescent="0.2">
      <c r="I34" s="5"/>
      <c r="J34" s="5" t="s">
        <v>70</v>
      </c>
      <c r="K34" s="6"/>
      <c r="L34" s="5"/>
    </row>
    <row r="35" spans="2:12" x14ac:dyDescent="0.2">
      <c r="J35" s="5" t="s">
        <v>71</v>
      </c>
      <c r="K35" s="6"/>
      <c r="L35" s="5"/>
    </row>
    <row r="36" spans="2:12" x14ac:dyDescent="0.2">
      <c r="I36" s="5"/>
      <c r="J36" s="5" t="s">
        <v>72</v>
      </c>
      <c r="K36" s="6"/>
      <c r="L36" s="5"/>
    </row>
    <row r="37" spans="2:12" x14ac:dyDescent="0.2">
      <c r="I37" s="5"/>
      <c r="J37" s="5"/>
      <c r="K37" s="6"/>
      <c r="L37" s="5"/>
    </row>
    <row r="38" spans="2:12" x14ac:dyDescent="0.2">
      <c r="I38" s="5" t="s">
        <v>73</v>
      </c>
      <c r="J38" s="5" t="s">
        <v>74</v>
      </c>
      <c r="K38" s="6"/>
      <c r="L38" s="5"/>
    </row>
    <row r="39" spans="2:12" x14ac:dyDescent="0.2">
      <c r="I39" s="5"/>
      <c r="J39" s="5" t="s">
        <v>75</v>
      </c>
      <c r="K39" s="6"/>
      <c r="L39" s="5"/>
    </row>
    <row r="40" spans="2:12" x14ac:dyDescent="0.2">
      <c r="I40" s="5"/>
      <c r="J40" s="5" t="s">
        <v>76</v>
      </c>
      <c r="K40" s="6"/>
      <c r="L40" s="5"/>
    </row>
    <row r="41" spans="2:12" x14ac:dyDescent="0.2">
      <c r="I41" s="5"/>
      <c r="J41" s="5" t="s">
        <v>77</v>
      </c>
      <c r="K41" s="6"/>
      <c r="L41" s="5"/>
    </row>
    <row r="42" spans="2:12" x14ac:dyDescent="0.2">
      <c r="I42" s="5"/>
      <c r="J42" s="5" t="s">
        <v>78</v>
      </c>
      <c r="K42" s="6"/>
      <c r="L42" s="5"/>
    </row>
    <row r="43" spans="2:12" ht="20" customHeight="1" x14ac:dyDescent="0.2"/>
    <row r="44" spans="2:12" ht="19" x14ac:dyDescent="0.25">
      <c r="B44" s="30" t="s">
        <v>79</v>
      </c>
      <c r="E44" s="30" t="s">
        <v>80</v>
      </c>
      <c r="I44" s="30" t="s">
        <v>81</v>
      </c>
    </row>
    <row r="45" spans="2:12" x14ac:dyDescent="0.2">
      <c r="B45" s="1" t="s">
        <v>82</v>
      </c>
      <c r="C45" s="31" t="str">
        <f>IFERROR($F$25/$F$31,"")</f>
        <v/>
      </c>
      <c r="E45" s="1" t="s">
        <v>83</v>
      </c>
      <c r="F45" s="32">
        <f>$C$13+$C$14+$C$28</f>
        <v>0</v>
      </c>
      <c r="I45" s="1" t="s">
        <v>84</v>
      </c>
      <c r="J45" s="33"/>
    </row>
    <row r="46" spans="2:12" x14ac:dyDescent="0.2">
      <c r="B46" s="1" t="s">
        <v>85</v>
      </c>
      <c r="C46" s="31" t="str">
        <f>IFERROR($F$20/$C$31,"")</f>
        <v/>
      </c>
      <c r="E46" s="1" t="s">
        <v>158</v>
      </c>
      <c r="F46" s="34">
        <f>$F$45*0.04</f>
        <v>0</v>
      </c>
      <c r="I46" s="1" t="s">
        <v>86</v>
      </c>
      <c r="J46" s="88">
        <v>0.04</v>
      </c>
      <c r="L46" s="1" t="s">
        <v>87</v>
      </c>
    </row>
    <row r="47" spans="2:12" x14ac:dyDescent="0.2">
      <c r="B47" s="1" t="s">
        <v>88</v>
      </c>
      <c r="C47" s="31" t="str">
        <f>IFERROR(($F$14+$F$15+$F$16)/($C$21+$C$22+$C$27),"")</f>
        <v/>
      </c>
      <c r="E47" s="1" t="s">
        <v>89</v>
      </c>
      <c r="F47" s="31" t="str">
        <f>IFERROR($F$45/$J$48,"")</f>
        <v/>
      </c>
      <c r="I47" s="1" t="s">
        <v>90</v>
      </c>
      <c r="J47" s="35"/>
      <c r="L47" s="1" t="s">
        <v>91</v>
      </c>
    </row>
    <row r="48" spans="2:12" x14ac:dyDescent="0.2">
      <c r="B48" s="1" t="s">
        <v>92</v>
      </c>
      <c r="C48" s="36" t="str">
        <f>IFERROR(ROUND(IFERROR(SUM($C$7:$C$15)/$J$45,""),2),"")</f>
        <v/>
      </c>
      <c r="E48" s="1" t="s">
        <v>93</v>
      </c>
      <c r="F48" s="36" t="str">
        <f>IFERROR(ROUND(F45/(J45*12),2),"")</f>
        <v/>
      </c>
      <c r="I48" s="1" t="s">
        <v>94</v>
      </c>
      <c r="J48" s="34">
        <f>((J45-J47)*12)/J46</f>
        <v>0</v>
      </c>
    </row>
    <row r="50" spans="2:11" x14ac:dyDescent="0.2">
      <c r="B50" s="85"/>
      <c r="C50" s="85"/>
      <c r="D50" s="85"/>
      <c r="E50" s="85"/>
      <c r="F50" s="85"/>
    </row>
    <row r="51" spans="2:11" x14ac:dyDescent="0.2">
      <c r="B51" s="85"/>
      <c r="C51" s="85"/>
      <c r="D51" s="85"/>
      <c r="E51" s="85"/>
      <c r="F51" s="85"/>
      <c r="I51" s="3" t="s">
        <v>95</v>
      </c>
    </row>
    <row r="52" spans="2:11" ht="19" x14ac:dyDescent="0.25">
      <c r="B52" s="37"/>
      <c r="I52" s="1" t="s">
        <v>96</v>
      </c>
      <c r="K52" s="34">
        <f>SUM(C7:C10)</f>
        <v>0</v>
      </c>
    </row>
    <row r="53" spans="2:11" x14ac:dyDescent="0.2">
      <c r="I53" s="1" t="s">
        <v>97</v>
      </c>
      <c r="K53" s="34">
        <f>SUM(C13:C14)+C28</f>
        <v>0</v>
      </c>
    </row>
    <row r="54" spans="2:11" x14ac:dyDescent="0.2">
      <c r="C54" s="38"/>
      <c r="I54" s="1" t="s">
        <v>98</v>
      </c>
      <c r="K54" s="34">
        <f>C21+C22+C27-F14-F15-F16</f>
        <v>0</v>
      </c>
    </row>
    <row r="55" spans="2:11" x14ac:dyDescent="0.2">
      <c r="I55" s="1" t="s">
        <v>99</v>
      </c>
      <c r="K55" s="34">
        <f>C15+C18+C23+C26+C29</f>
        <v>0</v>
      </c>
    </row>
    <row r="56" spans="2:11" ht="19" x14ac:dyDescent="0.25">
      <c r="B56" s="37"/>
      <c r="K56" s="34"/>
    </row>
    <row r="57" spans="2:11" x14ac:dyDescent="0.2">
      <c r="C57" s="34"/>
      <c r="I57" s="1" t="s">
        <v>100</v>
      </c>
      <c r="K57" s="34">
        <f>SUM(C7:C18)</f>
        <v>0</v>
      </c>
    </row>
    <row r="58" spans="2:11" x14ac:dyDescent="0.2">
      <c r="C58" s="39"/>
      <c r="I58" s="1" t="s">
        <v>101</v>
      </c>
      <c r="K58" s="34">
        <f>SUM(C21:C29)-SUM(F14:F16)-F10</f>
        <v>0</v>
      </c>
    </row>
    <row r="60" spans="2:11" x14ac:dyDescent="0.2">
      <c r="C60" s="40"/>
      <c r="I60" s="1" t="s">
        <v>11</v>
      </c>
      <c r="K60" s="41">
        <f>C31</f>
        <v>0</v>
      </c>
    </row>
    <row r="61" spans="2:11" x14ac:dyDescent="0.2">
      <c r="I61" s="1" t="s">
        <v>102</v>
      </c>
      <c r="K61" s="41">
        <f>F20</f>
        <v>0</v>
      </c>
    </row>
    <row r="63" spans="2:11" x14ac:dyDescent="0.2">
      <c r="I63" s="42" t="s">
        <v>110</v>
      </c>
      <c r="K63" s="34">
        <f>C13+C14</f>
        <v>0</v>
      </c>
    </row>
  </sheetData>
  <mergeCells count="2">
    <mergeCell ref="B1:F2"/>
    <mergeCell ref="B50:F51"/>
  </mergeCells>
  <pageMargins left="0.25" right="0.25" top="0.75" bottom="0.75" header="0.3" footer="0.3"/>
  <pageSetup paperSize="9" orientation="portrait" horizontalDpi="0" verticalDpi="0"/>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Kalkylblad</vt:lpstr>
      </vt:variant>
      <vt:variant>
        <vt:i4>10</vt:i4>
      </vt:variant>
    </vt:vector>
  </HeadingPairs>
  <TitlesOfParts>
    <vt:vector size="10" baseType="lpstr">
      <vt:lpstr>Instruktioner</vt:lpstr>
      <vt:lpstr>Sammanställning</vt:lpstr>
      <vt:lpstr>Diagram - period</vt:lpstr>
      <vt:lpstr>Diagram - år</vt:lpstr>
      <vt:lpstr>2021.Q4</vt:lpstr>
      <vt:lpstr>2021.Q3</vt:lpstr>
      <vt:lpstr>2021.Q2</vt:lpstr>
      <vt:lpstr>2021.Q1</vt:lpstr>
      <vt:lpstr>2020.Q4</vt:lpstr>
      <vt:lpstr>MALL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2021-03-29T18:52:52Z</cp:lastPrinted>
  <dcterms:created xsi:type="dcterms:W3CDTF">2021-03-27T16:53:10Z</dcterms:created>
  <dcterms:modified xsi:type="dcterms:W3CDTF">2021-03-30T06:14:49Z</dcterms:modified>
</cp:coreProperties>
</file>